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CL\"/>
    </mc:Choice>
  </mc:AlternateContent>
  <xr:revisionPtr revIDLastSave="0" documentId="13_ncr:1_{046141D6-6B7D-4C30-AB0E-B777336E38AF}" xr6:coauthVersionLast="47" xr6:coauthVersionMax="47" xr10:uidLastSave="{00000000-0000-0000-0000-000000000000}"/>
  <bookViews>
    <workbookView xWindow="-120" yWindow="-120" windowWidth="20730" windowHeight="11160" tabRatio="610" xr2:uid="{00000000-000D-0000-FFFF-FFFF00000000}"/>
  </bookViews>
  <sheets>
    <sheet name="Classif Prog-Admin-Eco" sheetId="1" r:id="rId1"/>
    <sheet name="Classif Fonctionnelle" sheetId="4" r:id="rId2"/>
  </sheets>
  <externalReferences>
    <externalReference r:id="rId3"/>
    <externalReference r:id="rId4"/>
    <externalReference r:id="rId5"/>
  </externalReferences>
  <definedNames>
    <definedName name="_xlnm.Print_Titles" localSheetId="1">'Classif Fonctionnelle'!$7:$7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4" l="1"/>
  <c r="J17" i="4"/>
  <c r="J16" i="4"/>
  <c r="K16" i="4"/>
  <c r="I16" i="4"/>
  <c r="H16" i="4"/>
  <c r="G16" i="4"/>
  <c r="K15" i="4"/>
  <c r="J15" i="4"/>
  <c r="I15" i="4"/>
  <c r="H15" i="4"/>
  <c r="G15" i="4"/>
  <c r="K14" i="4"/>
  <c r="J14" i="4"/>
  <c r="I14" i="4"/>
  <c r="H14" i="4"/>
  <c r="G14" i="4"/>
  <c r="J13" i="4"/>
  <c r="I13" i="4"/>
  <c r="H13" i="4"/>
  <c r="G13" i="4"/>
  <c r="K12" i="4"/>
  <c r="J12" i="4"/>
  <c r="I12" i="4"/>
  <c r="H12" i="4"/>
  <c r="G12" i="4"/>
  <c r="K11" i="4"/>
  <c r="I11" i="4"/>
  <c r="H11" i="4"/>
  <c r="G11" i="4"/>
  <c r="K10" i="4"/>
  <c r="J10" i="4"/>
  <c r="I10" i="4"/>
  <c r="H10" i="4"/>
  <c r="G10" i="4"/>
  <c r="K9" i="4"/>
  <c r="J9" i="4"/>
  <c r="I9" i="4"/>
  <c r="H9" i="4"/>
  <c r="G9" i="4"/>
  <c r="K8" i="4"/>
  <c r="J8" i="4"/>
  <c r="I8" i="4"/>
  <c r="H8" i="4"/>
  <c r="G8" i="4"/>
  <c r="T9" i="4" l="1"/>
  <c r="T10" i="4"/>
  <c r="T11" i="4"/>
  <c r="T12" i="4"/>
  <c r="T13" i="4"/>
  <c r="T14" i="4"/>
  <c r="T15" i="4"/>
  <c r="T16" i="4"/>
  <c r="T17" i="4"/>
  <c r="S11" i="4"/>
  <c r="S8" i="4"/>
  <c r="N10" i="4"/>
  <c r="O8" i="4"/>
  <c r="N8" i="4"/>
  <c r="S9" i="4"/>
  <c r="R17" i="4"/>
  <c r="Q17" i="4"/>
  <c r="P17" i="4"/>
  <c r="O17" i="4"/>
  <c r="N17" i="4"/>
  <c r="R16" i="4"/>
  <c r="Q16" i="4"/>
  <c r="P16" i="4"/>
  <c r="O16" i="4"/>
  <c r="N16" i="4"/>
  <c r="R15" i="4"/>
  <c r="Q15" i="4"/>
  <c r="P15" i="4"/>
  <c r="O15" i="4"/>
  <c r="N15" i="4"/>
  <c r="R14" i="4"/>
  <c r="Q14" i="4"/>
  <c r="P14" i="4"/>
  <c r="O14" i="4"/>
  <c r="N14" i="4"/>
  <c r="R13" i="4"/>
  <c r="Q13" i="4"/>
  <c r="P13" i="4"/>
  <c r="O13" i="4"/>
  <c r="N13" i="4"/>
  <c r="R12" i="4"/>
  <c r="Q12" i="4"/>
  <c r="P12" i="4"/>
  <c r="O12" i="4"/>
  <c r="N12" i="4"/>
  <c r="R11" i="4"/>
  <c r="Q11" i="4"/>
  <c r="P11" i="4"/>
  <c r="O11" i="4"/>
  <c r="N11" i="4"/>
  <c r="Q10" i="4"/>
  <c r="P10" i="4"/>
  <c r="O10" i="4"/>
  <c r="R9" i="4"/>
  <c r="Q9" i="4"/>
  <c r="P9" i="4"/>
  <c r="O9" i="4"/>
  <c r="N9" i="4"/>
  <c r="R8" i="4"/>
  <c r="Q8" i="4"/>
  <c r="P8" i="4"/>
  <c r="S126" i="1"/>
  <c r="T117" i="1"/>
  <c r="T99" i="1"/>
  <c r="T74" i="1"/>
  <c r="T67" i="1"/>
  <c r="T62" i="1"/>
  <c r="T44" i="1"/>
  <c r="T40" i="1"/>
  <c r="T35" i="1"/>
  <c r="T29" i="1"/>
  <c r="T20" i="1"/>
  <c r="T16" i="1"/>
  <c r="T10" i="1"/>
  <c r="T7" i="1"/>
  <c r="S136" i="1"/>
  <c r="K140" i="1" l="1"/>
  <c r="G125" i="1"/>
  <c r="K102" i="1"/>
  <c r="K66" i="1"/>
  <c r="K28" i="1"/>
  <c r="K27" i="1"/>
  <c r="G71" i="1"/>
  <c r="G70" i="1"/>
  <c r="G69" i="1"/>
  <c r="D35" i="1"/>
  <c r="D29" i="1"/>
  <c r="D20" i="1"/>
  <c r="D16" i="1"/>
  <c r="D10" i="1"/>
  <c r="D7" i="1"/>
  <c r="J136" i="1" l="1"/>
  <c r="J93" i="1"/>
  <c r="J91" i="1"/>
  <c r="J90" i="1"/>
  <c r="J89" i="1"/>
  <c r="J88" i="1"/>
  <c r="J86" i="1"/>
  <c r="J85" i="1"/>
  <c r="J81" i="1"/>
  <c r="J79" i="1"/>
  <c r="J76" i="1"/>
  <c r="J64" i="1"/>
  <c r="J63" i="1"/>
  <c r="J51" i="1"/>
  <c r="J50" i="1"/>
  <c r="J49" i="1"/>
  <c r="J46" i="1"/>
  <c r="J47" i="1"/>
  <c r="J45" i="1"/>
  <c r="J42" i="1"/>
  <c r="J43" i="1"/>
  <c r="J41" i="1"/>
  <c r="J37" i="1"/>
  <c r="J38" i="1"/>
  <c r="J39" i="1"/>
  <c r="J36" i="1"/>
  <c r="J31" i="1"/>
  <c r="J32" i="1"/>
  <c r="J33" i="1"/>
  <c r="J34" i="1"/>
  <c r="J30" i="1"/>
  <c r="J22" i="1"/>
  <c r="J23" i="1"/>
  <c r="J24" i="1"/>
  <c r="J25" i="1"/>
  <c r="J26" i="1"/>
  <c r="J27" i="1"/>
  <c r="J28" i="1"/>
  <c r="J21" i="1"/>
  <c r="J18" i="1"/>
  <c r="J19" i="1"/>
  <c r="J17" i="1"/>
  <c r="J12" i="1"/>
  <c r="J13" i="1"/>
  <c r="J14" i="1"/>
  <c r="J15" i="1"/>
  <c r="J11" i="1"/>
  <c r="J9" i="1"/>
  <c r="J119" i="1"/>
  <c r="J120" i="1"/>
  <c r="J118" i="1"/>
  <c r="J110" i="1"/>
  <c r="J111" i="1"/>
  <c r="J109" i="1"/>
  <c r="J108" i="1"/>
  <c r="J116" i="1"/>
  <c r="J115" i="1"/>
  <c r="H70" i="1"/>
  <c r="J70" i="1" s="1"/>
  <c r="G72" i="1"/>
  <c r="J72" i="1" s="1"/>
  <c r="J71" i="1"/>
  <c r="J69" i="1"/>
  <c r="G68" i="1"/>
  <c r="J68" i="1" s="1"/>
  <c r="E71" i="1"/>
  <c r="E72" i="1"/>
  <c r="D68" i="1"/>
  <c r="C72" i="1"/>
  <c r="C71" i="1"/>
  <c r="C70" i="1"/>
  <c r="C69" i="1"/>
  <c r="C68" i="1"/>
  <c r="C63" i="1"/>
  <c r="H60" i="1"/>
  <c r="H59" i="1"/>
  <c r="H58" i="1"/>
  <c r="G61" i="1"/>
  <c r="G60" i="1"/>
  <c r="G59" i="1"/>
  <c r="G58" i="1"/>
  <c r="D61" i="1"/>
  <c r="D60" i="1"/>
  <c r="D59" i="1"/>
  <c r="D58" i="1"/>
  <c r="C61" i="1"/>
  <c r="C60" i="1"/>
  <c r="C59" i="1"/>
  <c r="C58" i="1"/>
  <c r="H54" i="1"/>
  <c r="J54" i="1" s="1"/>
  <c r="H53" i="1"/>
  <c r="G56" i="1"/>
  <c r="J56" i="1" s="1"/>
  <c r="G54" i="1"/>
  <c r="G53" i="1"/>
  <c r="C54" i="1"/>
  <c r="C53" i="1"/>
  <c r="C56" i="1"/>
  <c r="C55" i="1"/>
  <c r="F49" i="1"/>
  <c r="F50" i="1"/>
  <c r="F51" i="1"/>
  <c r="J53" i="1" l="1"/>
  <c r="J60" i="1"/>
  <c r="J59" i="1"/>
  <c r="H48" i="1"/>
  <c r="H7" i="1"/>
  <c r="H10" i="1"/>
  <c r="I10" i="1"/>
  <c r="I16" i="1"/>
  <c r="I20" i="1"/>
  <c r="I29" i="1"/>
  <c r="I35" i="1"/>
  <c r="I40" i="1"/>
  <c r="I44" i="1"/>
  <c r="I48" i="1"/>
  <c r="I54" i="1"/>
  <c r="I52" i="1" s="1"/>
  <c r="I57" i="1"/>
  <c r="I62" i="1"/>
  <c r="I67" i="1"/>
  <c r="I74" i="1"/>
  <c r="I80" i="1"/>
  <c r="I84" i="1"/>
  <c r="I87" i="1"/>
  <c r="I94" i="1"/>
  <c r="I99" i="1"/>
  <c r="I103" i="1"/>
  <c r="I107" i="1"/>
  <c r="I112" i="1"/>
  <c r="I117" i="1"/>
  <c r="I125" i="1"/>
  <c r="AP102" i="1"/>
  <c r="D125" i="1"/>
  <c r="E125" i="1"/>
  <c r="H125" i="1"/>
  <c r="L125" i="1"/>
  <c r="M125" i="1"/>
  <c r="N125" i="1"/>
  <c r="P125" i="1"/>
  <c r="Q125" i="1"/>
  <c r="R125" i="1"/>
  <c r="S125" i="1"/>
  <c r="U125" i="1"/>
  <c r="V125" i="1"/>
  <c r="W125" i="1"/>
  <c r="Y125" i="1"/>
  <c r="Z125" i="1"/>
  <c r="AA125" i="1"/>
  <c r="AD125" i="1"/>
  <c r="AE125" i="1"/>
  <c r="AF125" i="1"/>
  <c r="AH125" i="1"/>
  <c r="AI125" i="1"/>
  <c r="AM125" i="1"/>
  <c r="AN125" i="1"/>
  <c r="AO125" i="1"/>
  <c r="AQ125" i="1"/>
  <c r="AR125" i="1"/>
  <c r="AS125" i="1"/>
  <c r="AV125" i="1"/>
  <c r="AW125" i="1"/>
  <c r="AX125" i="1"/>
  <c r="AZ125" i="1"/>
  <c r="BA125" i="1"/>
  <c r="BB125" i="1"/>
  <c r="R67" i="1"/>
  <c r="Q67" i="1"/>
  <c r="P67" i="1"/>
  <c r="S72" i="1"/>
  <c r="N67" i="1"/>
  <c r="M67" i="1"/>
  <c r="L67" i="1"/>
  <c r="O73" i="1"/>
  <c r="O72" i="1"/>
  <c r="W94" i="1"/>
  <c r="BB99" i="1"/>
  <c r="BA99" i="1"/>
  <c r="AZ99" i="1"/>
  <c r="AX99" i="1"/>
  <c r="AW99" i="1"/>
  <c r="AV99" i="1"/>
  <c r="AS99" i="1"/>
  <c r="AR99" i="1"/>
  <c r="AQ99" i="1"/>
  <c r="AO99" i="1"/>
  <c r="AN99" i="1"/>
  <c r="AM99" i="1"/>
  <c r="AJ99" i="1"/>
  <c r="AI99" i="1"/>
  <c r="AH99" i="1"/>
  <c r="BB94" i="1"/>
  <c r="BA94" i="1"/>
  <c r="AX94" i="1"/>
  <c r="AW94" i="1"/>
  <c r="AV94" i="1"/>
  <c r="AS94" i="1"/>
  <c r="AR94" i="1"/>
  <c r="AO94" i="1"/>
  <c r="AN94" i="1"/>
  <c r="AM94" i="1"/>
  <c r="AJ94" i="1"/>
  <c r="AI94" i="1"/>
  <c r="AH94" i="1"/>
  <c r="AF94" i="1"/>
  <c r="AE94" i="1"/>
  <c r="AD94" i="1"/>
  <c r="AF99" i="1"/>
  <c r="AE99" i="1"/>
  <c r="AD99" i="1"/>
  <c r="AA99" i="1"/>
  <c r="Z99" i="1"/>
  <c r="Y99" i="1"/>
  <c r="W99" i="1"/>
  <c r="V99" i="1"/>
  <c r="U99" i="1"/>
  <c r="R99" i="1"/>
  <c r="Q99" i="1"/>
  <c r="P99" i="1"/>
  <c r="N99" i="1"/>
  <c r="M99" i="1"/>
  <c r="L99" i="1"/>
  <c r="H99" i="1"/>
  <c r="G99" i="1"/>
  <c r="J99" i="1" s="1"/>
  <c r="E99" i="1"/>
  <c r="D99" i="1"/>
  <c r="C99" i="1"/>
  <c r="AA94" i="1"/>
  <c r="Z94" i="1"/>
  <c r="Y94" i="1"/>
  <c r="V94" i="1"/>
  <c r="U94" i="1"/>
  <c r="AS80" i="1"/>
  <c r="AR80" i="1"/>
  <c r="AQ80" i="1"/>
  <c r="AO80" i="1"/>
  <c r="AN80" i="1"/>
  <c r="AM80" i="1"/>
  <c r="AJ80" i="1"/>
  <c r="AI80" i="1"/>
  <c r="AH80" i="1"/>
  <c r="AF80" i="1"/>
  <c r="AE80" i="1"/>
  <c r="AD80" i="1"/>
  <c r="AA80" i="1"/>
  <c r="Z80" i="1"/>
  <c r="Y80" i="1"/>
  <c r="W80" i="1"/>
  <c r="V80" i="1"/>
  <c r="U80" i="1"/>
  <c r="R80" i="1"/>
  <c r="Q80" i="1"/>
  <c r="P80" i="1"/>
  <c r="N80" i="1"/>
  <c r="M80" i="1"/>
  <c r="L80" i="1"/>
  <c r="BB40" i="1"/>
  <c r="BA40" i="1"/>
  <c r="AZ40" i="1"/>
  <c r="AX40" i="1"/>
  <c r="AW40" i="1"/>
  <c r="AV40" i="1"/>
  <c r="AS40" i="1"/>
  <c r="AR40" i="1"/>
  <c r="AQ40" i="1"/>
  <c r="AO40" i="1"/>
  <c r="AN40" i="1"/>
  <c r="AM40" i="1"/>
  <c r="AJ40" i="1"/>
  <c r="AI40" i="1"/>
  <c r="AF40" i="1"/>
  <c r="AE40" i="1"/>
  <c r="AD40" i="1"/>
  <c r="AA40" i="1"/>
  <c r="Z40" i="1"/>
  <c r="Y40" i="1"/>
  <c r="W40" i="1"/>
  <c r="V40" i="1"/>
  <c r="U40" i="1"/>
  <c r="R40" i="1"/>
  <c r="Q40" i="1"/>
  <c r="P40" i="1"/>
  <c r="N40" i="1"/>
  <c r="M40" i="1"/>
  <c r="L40" i="1"/>
  <c r="H40" i="1"/>
  <c r="E40" i="1"/>
  <c r="D40" i="1"/>
  <c r="C40" i="1"/>
  <c r="BB16" i="1"/>
  <c r="BA16" i="1"/>
  <c r="AZ16" i="1"/>
  <c r="AX16" i="1"/>
  <c r="AW16" i="1"/>
  <c r="AV16" i="1"/>
  <c r="AS16" i="1"/>
  <c r="AR16" i="1"/>
  <c r="AQ16" i="1"/>
  <c r="AO16" i="1"/>
  <c r="AN16" i="1"/>
  <c r="AM16" i="1"/>
  <c r="AJ16" i="1"/>
  <c r="AI16" i="1"/>
  <c r="AH16" i="1"/>
  <c r="AF16" i="1"/>
  <c r="AE16" i="1"/>
  <c r="AD16" i="1"/>
  <c r="AA16" i="1"/>
  <c r="Z16" i="1"/>
  <c r="Y16" i="1"/>
  <c r="W16" i="1"/>
  <c r="V16" i="1"/>
  <c r="U16" i="1"/>
  <c r="Q16" i="1"/>
  <c r="R16" i="1"/>
  <c r="P16" i="1"/>
  <c r="N16" i="1"/>
  <c r="M16" i="1"/>
  <c r="L16" i="1"/>
  <c r="BB7" i="1"/>
  <c r="BA7" i="1"/>
  <c r="AZ7" i="1"/>
  <c r="AX7" i="1"/>
  <c r="AW7" i="1"/>
  <c r="AV7" i="1"/>
  <c r="AS7" i="1"/>
  <c r="AR7" i="1"/>
  <c r="AQ7" i="1"/>
  <c r="AO7" i="1"/>
  <c r="AN7" i="1"/>
  <c r="AM7" i="1"/>
  <c r="AJ7" i="1"/>
  <c r="AI7" i="1"/>
  <c r="AH7" i="1"/>
  <c r="AF7" i="1"/>
  <c r="AE7" i="1"/>
  <c r="AD7" i="1"/>
  <c r="AA7" i="1"/>
  <c r="Z7" i="1"/>
  <c r="Y7" i="1"/>
  <c r="W7" i="1"/>
  <c r="V7" i="1"/>
  <c r="U7" i="1"/>
  <c r="R7" i="1"/>
  <c r="Q7" i="1"/>
  <c r="P7" i="1"/>
  <c r="N7" i="1"/>
  <c r="M7" i="1"/>
  <c r="L7" i="1"/>
  <c r="I123" i="1" l="1"/>
  <c r="I142" i="1" s="1"/>
  <c r="AP99" i="1"/>
  <c r="T72" i="1"/>
  <c r="AK99" i="1"/>
  <c r="AG99" i="1"/>
  <c r="AK94" i="1"/>
  <c r="X99" i="1"/>
  <c r="AT99" i="1"/>
  <c r="X94" i="1"/>
  <c r="AG94" i="1"/>
  <c r="AB99" i="1"/>
  <c r="AB94" i="1"/>
  <c r="AP7" i="1"/>
  <c r="AK80" i="1"/>
  <c r="AB80" i="1"/>
  <c r="AP80" i="1"/>
  <c r="AG16" i="1"/>
  <c r="AB40" i="1"/>
  <c r="AP40" i="1"/>
  <c r="AG80" i="1"/>
  <c r="AT16" i="1"/>
  <c r="AT80" i="1"/>
  <c r="X80" i="1"/>
  <c r="X40" i="1"/>
  <c r="AT40" i="1"/>
  <c r="AK16" i="1"/>
  <c r="AG40" i="1"/>
  <c r="X16" i="1"/>
  <c r="X7" i="1"/>
  <c r="AB16" i="1"/>
  <c r="AP16" i="1"/>
  <c r="AG7" i="1"/>
  <c r="AT7" i="1"/>
  <c r="AK7" i="1"/>
  <c r="AB7" i="1"/>
  <c r="Z8" i="4"/>
  <c r="AL94" i="1" l="1"/>
  <c r="AC80" i="1"/>
  <c r="AL99" i="1"/>
  <c r="AC99" i="1"/>
  <c r="AL16" i="1"/>
  <c r="AL80" i="1"/>
  <c r="AC94" i="1"/>
  <c r="AC40" i="1"/>
  <c r="AC16" i="1"/>
  <c r="AC7" i="1"/>
  <c r="T139" i="1"/>
  <c r="O127" i="1"/>
  <c r="T127" i="1" s="1"/>
  <c r="O128" i="1"/>
  <c r="T128" i="1" s="1"/>
  <c r="O129" i="1"/>
  <c r="T129" i="1" s="1"/>
  <c r="O130" i="1"/>
  <c r="T130" i="1" s="1"/>
  <c r="O131" i="1"/>
  <c r="T131" i="1" s="1"/>
  <c r="O132" i="1"/>
  <c r="T132" i="1" s="1"/>
  <c r="O133" i="1"/>
  <c r="T133" i="1" s="1"/>
  <c r="O134" i="1"/>
  <c r="T134" i="1" s="1"/>
  <c r="O135" i="1"/>
  <c r="T135" i="1" s="1"/>
  <c r="O136" i="1"/>
  <c r="T136" i="1" s="1"/>
  <c r="O137" i="1"/>
  <c r="T137" i="1" s="1"/>
  <c r="O138" i="1"/>
  <c r="T138" i="1" s="1"/>
  <c r="O126" i="1"/>
  <c r="T122" i="1"/>
  <c r="S53" i="1"/>
  <c r="S54" i="1"/>
  <c r="S55" i="1"/>
  <c r="S56" i="1"/>
  <c r="S8" i="1"/>
  <c r="S9" i="1"/>
  <c r="S11" i="1"/>
  <c r="S12" i="1"/>
  <c r="S13" i="1"/>
  <c r="S14" i="1"/>
  <c r="S15" i="1"/>
  <c r="S17" i="1"/>
  <c r="S18" i="1"/>
  <c r="S19" i="1"/>
  <c r="S21" i="1"/>
  <c r="S22" i="1"/>
  <c r="S23" i="1"/>
  <c r="S24" i="1"/>
  <c r="S25" i="1"/>
  <c r="S26" i="1"/>
  <c r="S27" i="1"/>
  <c r="S28" i="1"/>
  <c r="S30" i="1"/>
  <c r="S31" i="1"/>
  <c r="S32" i="1"/>
  <c r="S33" i="1"/>
  <c r="S34" i="1"/>
  <c r="S36" i="1"/>
  <c r="S37" i="1"/>
  <c r="S38" i="1"/>
  <c r="S39" i="1"/>
  <c r="S41" i="1"/>
  <c r="S42" i="1"/>
  <c r="S43" i="1"/>
  <c r="S45" i="1"/>
  <c r="S46" i="1"/>
  <c r="S47" i="1"/>
  <c r="S49" i="1"/>
  <c r="S50" i="1"/>
  <c r="S51" i="1"/>
  <c r="S58" i="1"/>
  <c r="S59" i="1"/>
  <c r="S60" i="1"/>
  <c r="S61" i="1"/>
  <c r="S63" i="1"/>
  <c r="S65" i="1"/>
  <c r="S66" i="1"/>
  <c r="S68" i="1"/>
  <c r="S69" i="1"/>
  <c r="S70" i="1"/>
  <c r="S71" i="1"/>
  <c r="S73" i="1"/>
  <c r="T73" i="1" s="1"/>
  <c r="S75" i="1"/>
  <c r="S76" i="1"/>
  <c r="S77" i="1"/>
  <c r="S78" i="1"/>
  <c r="S79" i="1"/>
  <c r="S81" i="1"/>
  <c r="S82" i="1"/>
  <c r="S83" i="1"/>
  <c r="S85" i="1"/>
  <c r="S86" i="1"/>
  <c r="S88" i="1"/>
  <c r="S89" i="1"/>
  <c r="S90" i="1"/>
  <c r="S91" i="1"/>
  <c r="S92" i="1"/>
  <c r="S93" i="1"/>
  <c r="S95" i="1"/>
  <c r="S96" i="1"/>
  <c r="S97" i="1"/>
  <c r="S98" i="1"/>
  <c r="S100" i="1"/>
  <c r="S101" i="1"/>
  <c r="S102" i="1"/>
  <c r="S104" i="1"/>
  <c r="S105" i="1"/>
  <c r="S106" i="1"/>
  <c r="S108" i="1"/>
  <c r="S109" i="1"/>
  <c r="S110" i="1"/>
  <c r="S111" i="1"/>
  <c r="S113" i="1"/>
  <c r="S114" i="1"/>
  <c r="S115" i="1"/>
  <c r="S116" i="1"/>
  <c r="S118" i="1"/>
  <c r="S119" i="1"/>
  <c r="S120" i="1"/>
  <c r="S121" i="1"/>
  <c r="O19" i="1"/>
  <c r="O21" i="1"/>
  <c r="O22" i="1"/>
  <c r="O23" i="1"/>
  <c r="O24" i="1"/>
  <c r="O25" i="1"/>
  <c r="O26" i="1"/>
  <c r="O27" i="1"/>
  <c r="O28" i="1"/>
  <c r="O30" i="1"/>
  <c r="O31" i="1"/>
  <c r="O32" i="1"/>
  <c r="O33" i="1"/>
  <c r="O34" i="1"/>
  <c r="O36" i="1"/>
  <c r="O37" i="1"/>
  <c r="O38" i="1"/>
  <c r="O39" i="1"/>
  <c r="O41" i="1"/>
  <c r="O42" i="1"/>
  <c r="O43" i="1"/>
  <c r="O45" i="1"/>
  <c r="O46" i="1"/>
  <c r="O47" i="1"/>
  <c r="O49" i="1"/>
  <c r="O50" i="1"/>
  <c r="O51" i="1"/>
  <c r="O53" i="1"/>
  <c r="O54" i="1"/>
  <c r="O55" i="1"/>
  <c r="O56" i="1"/>
  <c r="O58" i="1"/>
  <c r="O59" i="1"/>
  <c r="O60" i="1"/>
  <c r="O61" i="1"/>
  <c r="O63" i="1"/>
  <c r="O64" i="1"/>
  <c r="O65" i="1"/>
  <c r="O66" i="1"/>
  <c r="O68" i="1"/>
  <c r="O69" i="1"/>
  <c r="O70" i="1"/>
  <c r="O71" i="1"/>
  <c r="O75" i="1"/>
  <c r="O76" i="1"/>
  <c r="O77" i="1"/>
  <c r="O78" i="1"/>
  <c r="O79" i="1"/>
  <c r="O81" i="1"/>
  <c r="O82" i="1"/>
  <c r="O83" i="1"/>
  <c r="O85" i="1"/>
  <c r="O86" i="1"/>
  <c r="O88" i="1"/>
  <c r="O89" i="1"/>
  <c r="O90" i="1"/>
  <c r="O91" i="1"/>
  <c r="O92" i="1"/>
  <c r="O93" i="1"/>
  <c r="O95" i="1"/>
  <c r="O96" i="1"/>
  <c r="O97" i="1"/>
  <c r="O98" i="1"/>
  <c r="O100" i="1"/>
  <c r="O101" i="1"/>
  <c r="O102" i="1"/>
  <c r="O104" i="1"/>
  <c r="O105" i="1"/>
  <c r="O106" i="1"/>
  <c r="O108" i="1"/>
  <c r="O109" i="1"/>
  <c r="O110" i="1"/>
  <c r="O111" i="1"/>
  <c r="O113" i="1"/>
  <c r="O114" i="1"/>
  <c r="O115" i="1"/>
  <c r="O116" i="1"/>
  <c r="O118" i="1"/>
  <c r="O119" i="1"/>
  <c r="O120" i="1"/>
  <c r="O121" i="1"/>
  <c r="O8" i="1"/>
  <c r="O9" i="1"/>
  <c r="O11" i="1"/>
  <c r="O12" i="1"/>
  <c r="O13" i="1"/>
  <c r="O14" i="1"/>
  <c r="O15" i="1"/>
  <c r="O17" i="1"/>
  <c r="O18" i="1"/>
  <c r="AT12" i="4"/>
  <c r="AM12" i="4"/>
  <c r="AF13" i="4"/>
  <c r="AF12" i="4"/>
  <c r="T126" i="1" l="1"/>
  <c r="O125" i="1"/>
  <c r="T95" i="1"/>
  <c r="T85" i="1"/>
  <c r="T75" i="1"/>
  <c r="T93" i="1"/>
  <c r="T83" i="1"/>
  <c r="T63" i="1"/>
  <c r="T37" i="1"/>
  <c r="T19" i="1"/>
  <c r="T46" i="1"/>
  <c r="T92" i="1"/>
  <c r="T82" i="1"/>
  <c r="T119" i="1"/>
  <c r="T109" i="1"/>
  <c r="T68" i="1"/>
  <c r="T120" i="1"/>
  <c r="T110" i="1"/>
  <c r="T14" i="1"/>
  <c r="T118" i="1"/>
  <c r="T100" i="1"/>
  <c r="T58" i="1"/>
  <c r="T65" i="1"/>
  <c r="T18" i="1"/>
  <c r="T8" i="1"/>
  <c r="T17" i="1"/>
  <c r="T12" i="1"/>
  <c r="T98" i="1"/>
  <c r="T36" i="1"/>
  <c r="T53" i="1"/>
  <c r="T55" i="1"/>
  <c r="T26" i="1"/>
  <c r="T114" i="1"/>
  <c r="T104" i="1"/>
  <c r="T89" i="1"/>
  <c r="T78" i="1"/>
  <c r="T71" i="1"/>
  <c r="T51" i="1"/>
  <c r="T42" i="1"/>
  <c r="T32" i="1"/>
  <c r="T23" i="1"/>
  <c r="T56" i="1"/>
  <c r="T45" i="1"/>
  <c r="T13" i="1"/>
  <c r="T9" i="1"/>
  <c r="T61" i="1"/>
  <c r="T47" i="1"/>
  <c r="T54" i="1"/>
  <c r="T43" i="1"/>
  <c r="T113" i="1"/>
  <c r="T97" i="1"/>
  <c r="T77" i="1"/>
  <c r="T70" i="1"/>
  <c r="T60" i="1"/>
  <c r="T50" i="1"/>
  <c r="T41" i="1"/>
  <c r="T31" i="1"/>
  <c r="T22" i="1"/>
  <c r="T116" i="1"/>
  <c r="T81" i="1"/>
  <c r="T15" i="1"/>
  <c r="T121" i="1"/>
  <c r="T111" i="1"/>
  <c r="T86" i="1"/>
  <c r="T76" i="1"/>
  <c r="T69" i="1"/>
  <c r="T49" i="1"/>
  <c r="T39" i="1"/>
  <c r="T30" i="1"/>
  <c r="T21" i="1"/>
  <c r="T59" i="1"/>
  <c r="T88" i="1"/>
  <c r="T96" i="1"/>
  <c r="T11" i="1"/>
  <c r="T106" i="1"/>
  <c r="T91" i="1"/>
  <c r="T34" i="1"/>
  <c r="T25" i="1"/>
  <c r="T101" i="1"/>
  <c r="T115" i="1"/>
  <c r="T105" i="1"/>
  <c r="T90" i="1"/>
  <c r="T79" i="1"/>
  <c r="T33" i="1"/>
  <c r="T24" i="1"/>
  <c r="T108" i="1"/>
  <c r="T38" i="1"/>
  <c r="AZ119" i="1"/>
  <c r="T125" i="1" l="1"/>
  <c r="AM8" i="4"/>
  <c r="AT8" i="4"/>
  <c r="BC22" i="1"/>
  <c r="BC23" i="1"/>
  <c r="BC24" i="1"/>
  <c r="T142" i="1" l="1"/>
  <c r="AM107" i="1"/>
  <c r="AR107" i="1"/>
  <c r="AT136" i="1" l="1"/>
  <c r="AQ119" i="1"/>
  <c r="AZ96" i="1"/>
  <c r="AZ94" i="1" s="1"/>
  <c r="AQ96" i="1"/>
  <c r="AQ94" i="1" s="1"/>
  <c r="AY111" i="1"/>
  <c r="BC110" i="1"/>
  <c r="BC111" i="1"/>
  <c r="AP111" i="1"/>
  <c r="AZ73" i="1"/>
  <c r="AQ73" i="1"/>
  <c r="AS60" i="1"/>
  <c r="AQ54" i="1"/>
  <c r="BB114" i="1"/>
  <c r="BA114" i="1"/>
  <c r="AZ114" i="1"/>
  <c r="AS114" i="1"/>
  <c r="AQ114" i="1"/>
  <c r="BB115" i="1"/>
  <c r="BA115" i="1"/>
  <c r="AZ115" i="1"/>
  <c r="AS115" i="1"/>
  <c r="AR115" i="1"/>
  <c r="AQ115" i="1"/>
  <c r="AM13" i="4" l="1"/>
  <c r="AT13" i="4"/>
  <c r="AT92" i="1"/>
  <c r="AJ136" i="1" l="1"/>
  <c r="AJ125" i="1" s="1"/>
  <c r="AH119" i="1"/>
  <c r="AI60" i="1"/>
  <c r="AH54" i="1"/>
  <c r="AH42" i="1"/>
  <c r="AH40" i="1" s="1"/>
  <c r="AK40" i="1" s="1"/>
  <c r="AL40" i="1" s="1"/>
  <c r="AG140" i="1"/>
  <c r="AE27" i="1"/>
  <c r="AF26" i="1"/>
  <c r="AE26" i="1"/>
  <c r="AD26" i="1"/>
  <c r="AJ114" i="1"/>
  <c r="AD117" i="1" l="1"/>
  <c r="AE117" i="1"/>
  <c r="AF117" i="1"/>
  <c r="AJ60" i="1" l="1"/>
  <c r="AH59" i="1"/>
  <c r="AJ54" i="1"/>
  <c r="AH56" i="1"/>
  <c r="AZ21" i="1" l="1"/>
  <c r="Z12" i="4" l="1"/>
  <c r="S17" i="4"/>
  <c r="S15" i="4"/>
  <c r="S14" i="4"/>
  <c r="S13" i="4"/>
  <c r="S12" i="4"/>
  <c r="S10" i="4"/>
  <c r="P19" i="4"/>
  <c r="Z11" i="4"/>
  <c r="Z13" i="4"/>
  <c r="Z14" i="4"/>
  <c r="Z15" i="4"/>
  <c r="Z16" i="4"/>
  <c r="Z17" i="4"/>
  <c r="AB140" i="1"/>
  <c r="AC140" i="1" s="1"/>
  <c r="AC139" i="1"/>
  <c r="AB138" i="1"/>
  <c r="X138" i="1"/>
  <c r="AB137" i="1"/>
  <c r="X137" i="1"/>
  <c r="AB136" i="1"/>
  <c r="X136" i="1"/>
  <c r="X135" i="1"/>
  <c r="AC135" i="1" s="1"/>
  <c r="X134" i="1"/>
  <c r="AC134" i="1" s="1"/>
  <c r="AB133" i="1"/>
  <c r="X133" i="1"/>
  <c r="AB132" i="1"/>
  <c r="X132" i="1"/>
  <c r="AB131" i="1"/>
  <c r="X131" i="1"/>
  <c r="AB130" i="1"/>
  <c r="X130" i="1"/>
  <c r="AB129" i="1"/>
  <c r="X129" i="1"/>
  <c r="AB128" i="1"/>
  <c r="X128" i="1"/>
  <c r="AB127" i="1"/>
  <c r="X127" i="1"/>
  <c r="AB126" i="1"/>
  <c r="X126" i="1"/>
  <c r="X121" i="1"/>
  <c r="AC121" i="1" s="1"/>
  <c r="AB120" i="1"/>
  <c r="X120" i="1"/>
  <c r="AB119" i="1"/>
  <c r="X119" i="1"/>
  <c r="AB118" i="1"/>
  <c r="X118" i="1"/>
  <c r="AA117" i="1"/>
  <c r="Z117" i="1"/>
  <c r="Y117" i="1"/>
  <c r="W117" i="1"/>
  <c r="V117" i="1"/>
  <c r="U117" i="1"/>
  <c r="AB116" i="1"/>
  <c r="X116" i="1"/>
  <c r="AB115" i="1"/>
  <c r="X115" i="1"/>
  <c r="AB114" i="1"/>
  <c r="X114" i="1"/>
  <c r="AB113" i="1"/>
  <c r="X113" i="1"/>
  <c r="AA112" i="1"/>
  <c r="Z112" i="1"/>
  <c r="Y112" i="1"/>
  <c r="W112" i="1"/>
  <c r="V112" i="1"/>
  <c r="U112" i="1"/>
  <c r="AB111" i="1"/>
  <c r="X111" i="1"/>
  <c r="AB110" i="1"/>
  <c r="X110" i="1"/>
  <c r="AB109" i="1"/>
  <c r="X109" i="1"/>
  <c r="AB108" i="1"/>
  <c r="X108" i="1"/>
  <c r="AA107" i="1"/>
  <c r="Z107" i="1"/>
  <c r="Y107" i="1"/>
  <c r="W107" i="1"/>
  <c r="V107" i="1"/>
  <c r="U107" i="1"/>
  <c r="AB106" i="1"/>
  <c r="X106" i="1"/>
  <c r="AB105" i="1"/>
  <c r="X105" i="1"/>
  <c r="AB104" i="1"/>
  <c r="X104" i="1"/>
  <c r="AA103" i="1"/>
  <c r="Z103" i="1"/>
  <c r="Y103" i="1"/>
  <c r="W103" i="1"/>
  <c r="V103" i="1"/>
  <c r="U103" i="1"/>
  <c r="AB102" i="1"/>
  <c r="AC102" i="1" s="1"/>
  <c r="AB101" i="1"/>
  <c r="X101" i="1"/>
  <c r="AB100" i="1"/>
  <c r="X100" i="1"/>
  <c r="X98" i="1"/>
  <c r="AC98" i="1" s="1"/>
  <c r="AB97" i="1"/>
  <c r="X97" i="1"/>
  <c r="AB96" i="1"/>
  <c r="X96" i="1"/>
  <c r="AB95" i="1"/>
  <c r="X95" i="1"/>
  <c r="AB93" i="1"/>
  <c r="X93" i="1"/>
  <c r="AB92" i="1"/>
  <c r="X92" i="1"/>
  <c r="AB91" i="1"/>
  <c r="X91" i="1"/>
  <c r="AB90" i="1"/>
  <c r="X90" i="1"/>
  <c r="AB89" i="1"/>
  <c r="X89" i="1"/>
  <c r="AB88" i="1"/>
  <c r="X88" i="1"/>
  <c r="AA87" i="1"/>
  <c r="Z87" i="1"/>
  <c r="Y87" i="1"/>
  <c r="W87" i="1"/>
  <c r="V87" i="1"/>
  <c r="U87" i="1"/>
  <c r="AB86" i="1"/>
  <c r="X86" i="1"/>
  <c r="AB85" i="1"/>
  <c r="X85" i="1"/>
  <c r="AA84" i="1"/>
  <c r="Z84" i="1"/>
  <c r="Y84" i="1"/>
  <c r="W84" i="1"/>
  <c r="V84" i="1"/>
  <c r="U84" i="1"/>
  <c r="AB83" i="1"/>
  <c r="X83" i="1"/>
  <c r="AB82" i="1"/>
  <c r="X82" i="1"/>
  <c r="AB81" i="1"/>
  <c r="X81" i="1"/>
  <c r="AB79" i="1"/>
  <c r="X79" i="1"/>
  <c r="AB78" i="1"/>
  <c r="X78" i="1"/>
  <c r="AB77" i="1"/>
  <c r="X77" i="1"/>
  <c r="AB76" i="1"/>
  <c r="X76" i="1"/>
  <c r="AB75" i="1"/>
  <c r="X75" i="1"/>
  <c r="AA74" i="1"/>
  <c r="Z74" i="1"/>
  <c r="Y74" i="1"/>
  <c r="W74" i="1"/>
  <c r="V74" i="1"/>
  <c r="U74" i="1"/>
  <c r="AB73" i="1"/>
  <c r="X73" i="1"/>
  <c r="AB71" i="1"/>
  <c r="X71" i="1"/>
  <c r="AB70" i="1"/>
  <c r="X70" i="1"/>
  <c r="AB69" i="1"/>
  <c r="X69" i="1"/>
  <c r="AB68" i="1"/>
  <c r="X68" i="1"/>
  <c r="AA67" i="1"/>
  <c r="Z67" i="1"/>
  <c r="Y67" i="1"/>
  <c r="W67" i="1"/>
  <c r="V67" i="1"/>
  <c r="U67" i="1"/>
  <c r="AB66" i="1"/>
  <c r="AC66" i="1" s="1"/>
  <c r="AB65" i="1"/>
  <c r="X65" i="1"/>
  <c r="AB64" i="1"/>
  <c r="X64" i="1"/>
  <c r="AB63" i="1"/>
  <c r="X63" i="1"/>
  <c r="AA62" i="1"/>
  <c r="Z62" i="1"/>
  <c r="Y62" i="1"/>
  <c r="W62" i="1"/>
  <c r="V62" i="1"/>
  <c r="U62" i="1"/>
  <c r="AB61" i="1"/>
  <c r="X61" i="1"/>
  <c r="AB60" i="1"/>
  <c r="X60" i="1"/>
  <c r="AB59" i="1"/>
  <c r="X59" i="1"/>
  <c r="AB58" i="1"/>
  <c r="X58" i="1"/>
  <c r="AA57" i="1"/>
  <c r="Z57" i="1"/>
  <c r="Y57" i="1"/>
  <c r="W57" i="1"/>
  <c r="V57" i="1"/>
  <c r="U57" i="1"/>
  <c r="AB56" i="1"/>
  <c r="X56" i="1"/>
  <c r="AB55" i="1"/>
  <c r="X55" i="1"/>
  <c r="AB54" i="1"/>
  <c r="X54" i="1"/>
  <c r="AB53" i="1"/>
  <c r="X53" i="1"/>
  <c r="AA52" i="1"/>
  <c r="Z52" i="1"/>
  <c r="Y52" i="1"/>
  <c r="W52" i="1"/>
  <c r="V52" i="1"/>
  <c r="U52" i="1"/>
  <c r="AB51" i="1"/>
  <c r="X51" i="1"/>
  <c r="AB50" i="1"/>
  <c r="X50" i="1"/>
  <c r="AB49" i="1"/>
  <c r="X49" i="1"/>
  <c r="AA48" i="1"/>
  <c r="Z48" i="1"/>
  <c r="Y48" i="1"/>
  <c r="W48" i="1"/>
  <c r="V48" i="1"/>
  <c r="U48" i="1"/>
  <c r="AB47" i="1"/>
  <c r="X47" i="1"/>
  <c r="AB46" i="1"/>
  <c r="X46" i="1"/>
  <c r="AB45" i="1"/>
  <c r="X45" i="1"/>
  <c r="AA44" i="1"/>
  <c r="Z44" i="1"/>
  <c r="Y44" i="1"/>
  <c r="W44" i="1"/>
  <c r="V44" i="1"/>
  <c r="U44" i="1"/>
  <c r="AB43" i="1"/>
  <c r="X43" i="1"/>
  <c r="AB42" i="1"/>
  <c r="X42" i="1"/>
  <c r="AB41" i="1"/>
  <c r="X41" i="1"/>
  <c r="AB39" i="1"/>
  <c r="X39" i="1"/>
  <c r="AB38" i="1"/>
  <c r="X38" i="1"/>
  <c r="AB37" i="1"/>
  <c r="X37" i="1"/>
  <c r="AB36" i="1"/>
  <c r="X36" i="1"/>
  <c r="AA35" i="1"/>
  <c r="Z35" i="1"/>
  <c r="Y35" i="1"/>
  <c r="W35" i="1"/>
  <c r="V35" i="1"/>
  <c r="U35" i="1"/>
  <c r="AB34" i="1"/>
  <c r="X34" i="1"/>
  <c r="AB33" i="1"/>
  <c r="X33" i="1"/>
  <c r="AB32" i="1"/>
  <c r="X32" i="1"/>
  <c r="AB31" i="1"/>
  <c r="X31" i="1"/>
  <c r="AB30" i="1"/>
  <c r="X30" i="1"/>
  <c r="AA29" i="1"/>
  <c r="Z29" i="1"/>
  <c r="Y29" i="1"/>
  <c r="W29" i="1"/>
  <c r="V29" i="1"/>
  <c r="U29" i="1"/>
  <c r="AB28" i="1"/>
  <c r="X28" i="1"/>
  <c r="AB27" i="1"/>
  <c r="X27" i="1"/>
  <c r="AB26" i="1"/>
  <c r="X26" i="1"/>
  <c r="AB25" i="1"/>
  <c r="X25" i="1"/>
  <c r="AB24" i="1"/>
  <c r="X24" i="1"/>
  <c r="AB23" i="1"/>
  <c r="X23" i="1"/>
  <c r="AB22" i="1"/>
  <c r="X22" i="1"/>
  <c r="AB21" i="1"/>
  <c r="X21" i="1"/>
  <c r="AA20" i="1"/>
  <c r="Z20" i="1"/>
  <c r="Y20" i="1"/>
  <c r="W20" i="1"/>
  <c r="V20" i="1"/>
  <c r="U20" i="1"/>
  <c r="AB19" i="1"/>
  <c r="X19" i="1"/>
  <c r="AB18" i="1"/>
  <c r="X18" i="1"/>
  <c r="AB17" i="1"/>
  <c r="X17" i="1"/>
  <c r="AB15" i="1"/>
  <c r="X15" i="1"/>
  <c r="AB14" i="1"/>
  <c r="X14" i="1"/>
  <c r="AB13" i="1"/>
  <c r="X13" i="1"/>
  <c r="AB12" i="1"/>
  <c r="X12" i="1"/>
  <c r="AB11" i="1"/>
  <c r="X11" i="1"/>
  <c r="AA10" i="1"/>
  <c r="Z10" i="1"/>
  <c r="Y10" i="1"/>
  <c r="W10" i="1"/>
  <c r="V10" i="1"/>
  <c r="U10" i="1"/>
  <c r="AB9" i="1"/>
  <c r="X9" i="1"/>
  <c r="AB8" i="1"/>
  <c r="X8" i="1"/>
  <c r="T124" i="1"/>
  <c r="R117" i="1"/>
  <c r="Q117" i="1"/>
  <c r="P117" i="1"/>
  <c r="N117" i="1"/>
  <c r="M117" i="1"/>
  <c r="L117" i="1"/>
  <c r="R112" i="1"/>
  <c r="Q112" i="1"/>
  <c r="P112" i="1"/>
  <c r="N112" i="1"/>
  <c r="M112" i="1"/>
  <c r="L112" i="1"/>
  <c r="R107" i="1"/>
  <c r="Q107" i="1"/>
  <c r="P107" i="1"/>
  <c r="N107" i="1"/>
  <c r="M107" i="1"/>
  <c r="L107" i="1"/>
  <c r="R103" i="1"/>
  <c r="Q103" i="1"/>
  <c r="P103" i="1"/>
  <c r="N103" i="1"/>
  <c r="M103" i="1"/>
  <c r="L103" i="1"/>
  <c r="R94" i="1"/>
  <c r="Q94" i="1"/>
  <c r="P94" i="1"/>
  <c r="N94" i="1"/>
  <c r="M94" i="1"/>
  <c r="L94" i="1"/>
  <c r="R87" i="1"/>
  <c r="Q87" i="1"/>
  <c r="P87" i="1"/>
  <c r="N87" i="1"/>
  <c r="M87" i="1"/>
  <c r="L87" i="1"/>
  <c r="R84" i="1"/>
  <c r="Q84" i="1"/>
  <c r="P84" i="1"/>
  <c r="N84" i="1"/>
  <c r="M84" i="1"/>
  <c r="L84" i="1"/>
  <c r="R74" i="1"/>
  <c r="Q74" i="1"/>
  <c r="P74" i="1"/>
  <c r="N74" i="1"/>
  <c r="M74" i="1"/>
  <c r="L74" i="1"/>
  <c r="S64" i="1"/>
  <c r="T64" i="1" s="1"/>
  <c r="R62" i="1"/>
  <c r="Q62" i="1"/>
  <c r="N62" i="1"/>
  <c r="M62" i="1"/>
  <c r="L62" i="1"/>
  <c r="R57" i="1"/>
  <c r="Q57" i="1"/>
  <c r="P57" i="1"/>
  <c r="N57" i="1"/>
  <c r="M57" i="1"/>
  <c r="L57" i="1"/>
  <c r="R52" i="1"/>
  <c r="Q52" i="1"/>
  <c r="P52" i="1"/>
  <c r="N52" i="1"/>
  <c r="M52" i="1"/>
  <c r="L52" i="1"/>
  <c r="R48" i="1"/>
  <c r="Q48" i="1"/>
  <c r="P48" i="1"/>
  <c r="N48" i="1"/>
  <c r="M48" i="1"/>
  <c r="L48" i="1"/>
  <c r="R44" i="1"/>
  <c r="Q44" i="1"/>
  <c r="P44" i="1"/>
  <c r="N44" i="1"/>
  <c r="M44" i="1"/>
  <c r="L44" i="1"/>
  <c r="R35" i="1"/>
  <c r="Q35" i="1"/>
  <c r="P35" i="1"/>
  <c r="N35" i="1"/>
  <c r="M35" i="1"/>
  <c r="L35" i="1"/>
  <c r="R29" i="1"/>
  <c r="Q29" i="1"/>
  <c r="P29" i="1"/>
  <c r="N29" i="1"/>
  <c r="M29" i="1"/>
  <c r="L29" i="1"/>
  <c r="R20" i="1"/>
  <c r="Q20" i="1"/>
  <c r="P20" i="1"/>
  <c r="N20" i="1"/>
  <c r="M20" i="1"/>
  <c r="L20" i="1"/>
  <c r="R10" i="1"/>
  <c r="Q10" i="1"/>
  <c r="P10" i="1"/>
  <c r="N10" i="1"/>
  <c r="M10" i="1"/>
  <c r="L10" i="1"/>
  <c r="J140" i="1"/>
  <c r="J139" i="1"/>
  <c r="J138" i="1"/>
  <c r="F138" i="1"/>
  <c r="J137" i="1"/>
  <c r="F137" i="1"/>
  <c r="F136" i="1"/>
  <c r="J135" i="1"/>
  <c r="F135" i="1"/>
  <c r="J134" i="1"/>
  <c r="F134" i="1"/>
  <c r="J133" i="1"/>
  <c r="F133" i="1"/>
  <c r="J132" i="1"/>
  <c r="F132" i="1"/>
  <c r="J131" i="1"/>
  <c r="F131" i="1"/>
  <c r="J130" i="1"/>
  <c r="F130" i="1"/>
  <c r="J129" i="1"/>
  <c r="F129" i="1"/>
  <c r="J128" i="1"/>
  <c r="F128" i="1"/>
  <c r="J127" i="1"/>
  <c r="F127" i="1"/>
  <c r="J126" i="1"/>
  <c r="F126" i="1"/>
  <c r="C125" i="1"/>
  <c r="J124" i="1"/>
  <c r="K124" i="1" s="1"/>
  <c r="J122" i="1"/>
  <c r="K122" i="1" s="1"/>
  <c r="F120" i="1"/>
  <c r="F119" i="1"/>
  <c r="F118" i="1"/>
  <c r="H117" i="1"/>
  <c r="G117" i="1"/>
  <c r="E117" i="1"/>
  <c r="D117" i="1"/>
  <c r="C117" i="1"/>
  <c r="F116" i="1"/>
  <c r="F115" i="1"/>
  <c r="J113" i="1"/>
  <c r="F113" i="1"/>
  <c r="H112" i="1"/>
  <c r="G112" i="1"/>
  <c r="E112" i="1"/>
  <c r="D112" i="1"/>
  <c r="C112" i="1"/>
  <c r="F111" i="1"/>
  <c r="F110" i="1"/>
  <c r="F109" i="1"/>
  <c r="F108" i="1"/>
  <c r="H107" i="1"/>
  <c r="G107" i="1"/>
  <c r="E107" i="1"/>
  <c r="D107" i="1"/>
  <c r="C107" i="1"/>
  <c r="J106" i="1"/>
  <c r="F106" i="1"/>
  <c r="J105" i="1"/>
  <c r="F105" i="1"/>
  <c r="J104" i="1"/>
  <c r="F104" i="1"/>
  <c r="H103" i="1"/>
  <c r="G103" i="1"/>
  <c r="E103" i="1"/>
  <c r="D103" i="1"/>
  <c r="C103" i="1"/>
  <c r="J101" i="1"/>
  <c r="F101" i="1"/>
  <c r="J100" i="1"/>
  <c r="F100" i="1"/>
  <c r="J97" i="1"/>
  <c r="F97" i="1"/>
  <c r="J96" i="1"/>
  <c r="F96" i="1"/>
  <c r="J95" i="1"/>
  <c r="F95" i="1"/>
  <c r="H94" i="1"/>
  <c r="G94" i="1"/>
  <c r="E94" i="1"/>
  <c r="D94" i="1"/>
  <c r="C94" i="1"/>
  <c r="F93" i="1"/>
  <c r="F91" i="1"/>
  <c r="F90" i="1"/>
  <c r="F89" i="1"/>
  <c r="F88" i="1"/>
  <c r="H87" i="1"/>
  <c r="G87" i="1"/>
  <c r="E87" i="1"/>
  <c r="D87" i="1"/>
  <c r="C87" i="1"/>
  <c r="F86" i="1"/>
  <c r="F85" i="1"/>
  <c r="H84" i="1"/>
  <c r="G84" i="1"/>
  <c r="E84" i="1"/>
  <c r="D84" i="1"/>
  <c r="C84" i="1"/>
  <c r="J83" i="1"/>
  <c r="F83" i="1"/>
  <c r="J82" i="1"/>
  <c r="F82" i="1"/>
  <c r="F81" i="1"/>
  <c r="H80" i="1"/>
  <c r="G80" i="1"/>
  <c r="E80" i="1"/>
  <c r="D80" i="1"/>
  <c r="C80" i="1"/>
  <c r="F79" i="1"/>
  <c r="J78" i="1"/>
  <c r="F78" i="1"/>
  <c r="J77" i="1"/>
  <c r="F77" i="1"/>
  <c r="F76" i="1"/>
  <c r="J75" i="1"/>
  <c r="F75" i="1"/>
  <c r="H74" i="1"/>
  <c r="G74" i="1"/>
  <c r="J74" i="1" s="1"/>
  <c r="E74" i="1"/>
  <c r="D74" i="1"/>
  <c r="C74" i="1"/>
  <c r="F72" i="1"/>
  <c r="F71" i="1"/>
  <c r="F70" i="1"/>
  <c r="F69" i="1"/>
  <c r="F68" i="1"/>
  <c r="H67" i="1"/>
  <c r="G67" i="1"/>
  <c r="E67" i="1"/>
  <c r="C67" i="1"/>
  <c r="J66" i="1"/>
  <c r="J65" i="1"/>
  <c r="F65" i="1"/>
  <c r="F64" i="1"/>
  <c r="F63" i="1"/>
  <c r="H62" i="1"/>
  <c r="E62" i="1"/>
  <c r="D62" i="1"/>
  <c r="C62" i="1"/>
  <c r="J61" i="1"/>
  <c r="F61" i="1"/>
  <c r="F60" i="1"/>
  <c r="F59" i="1"/>
  <c r="J58" i="1"/>
  <c r="F58" i="1"/>
  <c r="H57" i="1"/>
  <c r="E57" i="1"/>
  <c r="D57" i="1"/>
  <c r="C57" i="1"/>
  <c r="F56" i="1"/>
  <c r="J55" i="1"/>
  <c r="F55" i="1"/>
  <c r="F54" i="1"/>
  <c r="F53" i="1"/>
  <c r="H52" i="1"/>
  <c r="E52" i="1"/>
  <c r="D52" i="1"/>
  <c r="C52" i="1"/>
  <c r="G48" i="1"/>
  <c r="J48" i="1" s="1"/>
  <c r="E48" i="1"/>
  <c r="D48" i="1"/>
  <c r="C48" i="1"/>
  <c r="F47" i="1"/>
  <c r="F46" i="1"/>
  <c r="F45" i="1"/>
  <c r="H44" i="1"/>
  <c r="G44" i="1"/>
  <c r="E44" i="1"/>
  <c r="D44" i="1"/>
  <c r="C44" i="1"/>
  <c r="F43" i="1"/>
  <c r="G40" i="1"/>
  <c r="J40" i="1" s="1"/>
  <c r="F42" i="1"/>
  <c r="F41" i="1"/>
  <c r="F39" i="1"/>
  <c r="F38" i="1"/>
  <c r="F37" i="1"/>
  <c r="F36" i="1"/>
  <c r="H35" i="1"/>
  <c r="G35" i="1"/>
  <c r="E35" i="1"/>
  <c r="C35" i="1"/>
  <c r="F34" i="1"/>
  <c r="K34" i="1" s="1"/>
  <c r="F33" i="1"/>
  <c r="F32" i="1"/>
  <c r="F31" i="1"/>
  <c r="F30" i="1"/>
  <c r="H29" i="1"/>
  <c r="G29" i="1"/>
  <c r="E29" i="1"/>
  <c r="C29" i="1"/>
  <c r="F28" i="1"/>
  <c r="F27" i="1"/>
  <c r="F26" i="1"/>
  <c r="F25" i="1"/>
  <c r="F24" i="1"/>
  <c r="F23" i="1"/>
  <c r="F22" i="1"/>
  <c r="F21" i="1"/>
  <c r="H20" i="1"/>
  <c r="G20" i="1"/>
  <c r="E20" i="1"/>
  <c r="C20" i="1"/>
  <c r="F19" i="1"/>
  <c r="F18" i="1"/>
  <c r="G16" i="1"/>
  <c r="F17" i="1"/>
  <c r="H16" i="1"/>
  <c r="E16" i="1"/>
  <c r="C16" i="1"/>
  <c r="F15" i="1"/>
  <c r="F14" i="1"/>
  <c r="F13" i="1"/>
  <c r="F12" i="1"/>
  <c r="F11" i="1"/>
  <c r="G10" i="1"/>
  <c r="E10" i="1"/>
  <c r="C10" i="1"/>
  <c r="F9" i="1"/>
  <c r="J8" i="1"/>
  <c r="F8" i="1"/>
  <c r="G7" i="1"/>
  <c r="E7" i="1"/>
  <c r="C7" i="1"/>
  <c r="J117" i="1" l="1"/>
  <c r="J67" i="1"/>
  <c r="J87" i="1"/>
  <c r="J84" i="1"/>
  <c r="J35" i="1"/>
  <c r="J107" i="1"/>
  <c r="J112" i="1"/>
  <c r="AB125" i="1"/>
  <c r="F125" i="1"/>
  <c r="J125" i="1"/>
  <c r="X125" i="1"/>
  <c r="H123" i="1"/>
  <c r="Q123" i="1"/>
  <c r="R123" i="1"/>
  <c r="R142" i="1" s="1"/>
  <c r="C123" i="1"/>
  <c r="L123" i="1"/>
  <c r="M123" i="1"/>
  <c r="M142" i="1" s="1"/>
  <c r="E123" i="1"/>
  <c r="N123" i="1"/>
  <c r="X84" i="1"/>
  <c r="AC137" i="1"/>
  <c r="K100" i="1"/>
  <c r="K99" i="1" s="1"/>
  <c r="AC55" i="1"/>
  <c r="K55" i="1"/>
  <c r="K72" i="1"/>
  <c r="K75" i="1"/>
  <c r="K89" i="1"/>
  <c r="K136" i="1"/>
  <c r="AC138" i="1"/>
  <c r="AC41" i="1"/>
  <c r="AC47" i="1"/>
  <c r="AC49" i="1"/>
  <c r="AC69" i="1"/>
  <c r="K21" i="1"/>
  <c r="K54" i="1"/>
  <c r="AC37" i="1"/>
  <c r="AC43" i="1"/>
  <c r="AC45" i="1"/>
  <c r="AC51" i="1"/>
  <c r="AC53" i="1"/>
  <c r="K9" i="1"/>
  <c r="K41" i="1"/>
  <c r="AB48" i="1"/>
  <c r="AC136" i="1"/>
  <c r="K12" i="1"/>
  <c r="K82" i="1"/>
  <c r="K110" i="1"/>
  <c r="F117" i="1"/>
  <c r="K129" i="1"/>
  <c r="S10" i="1"/>
  <c r="S35" i="1"/>
  <c r="S52" i="1"/>
  <c r="S74" i="1"/>
  <c r="S94" i="1"/>
  <c r="S112" i="1"/>
  <c r="K14" i="1"/>
  <c r="K22" i="1"/>
  <c r="K26" i="1"/>
  <c r="K32" i="1"/>
  <c r="F99" i="1"/>
  <c r="O16" i="1"/>
  <c r="O40" i="1"/>
  <c r="O57" i="1"/>
  <c r="O80" i="1"/>
  <c r="O99" i="1"/>
  <c r="O117" i="1"/>
  <c r="AC39" i="1"/>
  <c r="AC126" i="1"/>
  <c r="K93" i="1"/>
  <c r="K95" i="1"/>
  <c r="K135" i="1"/>
  <c r="AC19" i="1"/>
  <c r="AC24" i="1"/>
  <c r="AC34" i="1"/>
  <c r="AC36" i="1"/>
  <c r="AC50" i="1"/>
  <c r="AC70" i="1"/>
  <c r="AC115" i="1"/>
  <c r="S16" i="1"/>
  <c r="S40" i="1"/>
  <c r="S57" i="1"/>
  <c r="S80" i="1"/>
  <c r="S99" i="1"/>
  <c r="S117" i="1"/>
  <c r="K30" i="1"/>
  <c r="K36" i="1"/>
  <c r="O29" i="1"/>
  <c r="O48" i="1"/>
  <c r="O67" i="1"/>
  <c r="O87" i="1"/>
  <c r="O107" i="1"/>
  <c r="AB20" i="1"/>
  <c r="O7" i="1"/>
  <c r="AC129" i="1"/>
  <c r="AC90" i="1"/>
  <c r="AC120" i="1"/>
  <c r="K63" i="1"/>
  <c r="O20" i="1"/>
  <c r="O44" i="1"/>
  <c r="O62" i="1"/>
  <c r="O84" i="1"/>
  <c r="O103" i="1"/>
  <c r="AC11" i="1"/>
  <c r="K109" i="1"/>
  <c r="AC114" i="1"/>
  <c r="K23" i="1"/>
  <c r="K78" i="1"/>
  <c r="K85" i="1"/>
  <c r="K120" i="1"/>
  <c r="K130" i="1"/>
  <c r="K134" i="1"/>
  <c r="S7" i="1"/>
  <c r="S29" i="1"/>
  <c r="S48" i="1"/>
  <c r="S67" i="1"/>
  <c r="S87" i="1"/>
  <c r="S107" i="1"/>
  <c r="AC18" i="1"/>
  <c r="AC33" i="1"/>
  <c r="AB57" i="1"/>
  <c r="AC68" i="1"/>
  <c r="AC73" i="1"/>
  <c r="AC75" i="1"/>
  <c r="AC79" i="1"/>
  <c r="AC81" i="1"/>
  <c r="J19" i="4"/>
  <c r="S20" i="1"/>
  <c r="S44" i="1"/>
  <c r="S84" i="1"/>
  <c r="S103" i="1"/>
  <c r="X67" i="1"/>
  <c r="AB117" i="1"/>
  <c r="L12" i="4"/>
  <c r="K19" i="1"/>
  <c r="K43" i="1"/>
  <c r="K45" i="1"/>
  <c r="G62" i="1"/>
  <c r="J62" i="1" s="1"/>
  <c r="K101" i="1"/>
  <c r="K108" i="1"/>
  <c r="O10" i="1"/>
  <c r="O35" i="1"/>
  <c r="O52" i="1"/>
  <c r="O74" i="1"/>
  <c r="O94" i="1"/>
  <c r="O112" i="1"/>
  <c r="AC42" i="1"/>
  <c r="X62" i="1"/>
  <c r="AC93" i="1"/>
  <c r="AC95" i="1"/>
  <c r="K118" i="1"/>
  <c r="J103" i="1"/>
  <c r="K96" i="1"/>
  <c r="K90" i="1"/>
  <c r="K70" i="1"/>
  <c r="K69" i="1"/>
  <c r="F62" i="1"/>
  <c r="K24" i="1"/>
  <c r="K11" i="1"/>
  <c r="K77" i="1"/>
  <c r="J94" i="1"/>
  <c r="K97" i="1"/>
  <c r="K116" i="1"/>
  <c r="K127" i="1"/>
  <c r="AC12" i="1"/>
  <c r="AC22" i="1"/>
  <c r="AC32" i="1"/>
  <c r="AC56" i="1"/>
  <c r="AC78" i="1"/>
  <c r="AC101" i="1"/>
  <c r="AC133" i="1"/>
  <c r="K13" i="1"/>
  <c r="K47" i="1"/>
  <c r="K49" i="1"/>
  <c r="G52" i="1"/>
  <c r="J52" i="1" s="1"/>
  <c r="G57" i="1"/>
  <c r="J57" i="1" s="1"/>
  <c r="F80" i="1"/>
  <c r="F87" i="1"/>
  <c r="AC23" i="1"/>
  <c r="AC25" i="1"/>
  <c r="AC27" i="1"/>
  <c r="AC63" i="1"/>
  <c r="AB62" i="1"/>
  <c r="AC85" i="1"/>
  <c r="AB87" i="1"/>
  <c r="AC91" i="1"/>
  <c r="AC105" i="1"/>
  <c r="AB107" i="1"/>
  <c r="AC111" i="1"/>
  <c r="AC113" i="1"/>
  <c r="F16" i="1"/>
  <c r="F29" i="1"/>
  <c r="F35" i="1"/>
  <c r="K25" i="1"/>
  <c r="K31" i="1"/>
  <c r="K37" i="1"/>
  <c r="F48" i="1"/>
  <c r="K50" i="1"/>
  <c r="F52" i="1"/>
  <c r="F57" i="1"/>
  <c r="K68" i="1"/>
  <c r="K76" i="1"/>
  <c r="K126" i="1"/>
  <c r="K133" i="1"/>
  <c r="K137" i="1"/>
  <c r="AC13" i="1"/>
  <c r="AC64" i="1"/>
  <c r="AB67" i="1"/>
  <c r="AB74" i="1"/>
  <c r="AC86" i="1"/>
  <c r="AC92" i="1"/>
  <c r="AC96" i="1"/>
  <c r="AC104" i="1"/>
  <c r="AC106" i="1"/>
  <c r="AC118" i="1"/>
  <c r="AC127" i="1"/>
  <c r="AC132" i="1"/>
  <c r="K18" i="1"/>
  <c r="J29" i="1"/>
  <c r="K60" i="1"/>
  <c r="K64" i="1"/>
  <c r="X48" i="1"/>
  <c r="Y123" i="1"/>
  <c r="Y142" i="1" s="1"/>
  <c r="AC77" i="1"/>
  <c r="X74" i="1"/>
  <c r="AC83" i="1"/>
  <c r="F7" i="1"/>
  <c r="F44" i="1"/>
  <c r="K46" i="1"/>
  <c r="K59" i="1"/>
  <c r="K65" i="1"/>
  <c r="D67" i="1"/>
  <c r="F67" i="1" s="1"/>
  <c r="K104" i="1"/>
  <c r="K106" i="1"/>
  <c r="AC61" i="1"/>
  <c r="X87" i="1"/>
  <c r="AC88" i="1"/>
  <c r="X107" i="1"/>
  <c r="AC108" i="1"/>
  <c r="K128" i="1"/>
  <c r="U123" i="1"/>
  <c r="U142" i="1" s="1"/>
  <c r="Z123" i="1"/>
  <c r="Z142" i="1" s="1"/>
  <c r="AC9" i="1"/>
  <c r="AC15" i="1"/>
  <c r="AC17" i="1"/>
  <c r="AC31" i="1"/>
  <c r="AB35" i="1"/>
  <c r="AC46" i="1"/>
  <c r="AC54" i="1"/>
  <c r="AC58" i="1"/>
  <c r="AC97" i="1"/>
  <c r="AC100" i="1"/>
  <c r="AC110" i="1"/>
  <c r="AC119" i="1"/>
  <c r="AC128" i="1"/>
  <c r="AC130" i="1"/>
  <c r="J20" i="1"/>
  <c r="K38" i="1"/>
  <c r="F40" i="1"/>
  <c r="K56" i="1"/>
  <c r="K79" i="1"/>
  <c r="K81" i="1"/>
  <c r="K91" i="1"/>
  <c r="F94" i="1"/>
  <c r="F103" i="1"/>
  <c r="K105" i="1"/>
  <c r="F107" i="1"/>
  <c r="F112" i="1"/>
  <c r="K115" i="1"/>
  <c r="K132" i="1"/>
  <c r="K139" i="1"/>
  <c r="V123" i="1"/>
  <c r="V142" i="1" s="1"/>
  <c r="AA123" i="1"/>
  <c r="AA142" i="1" s="1"/>
  <c r="X10" i="1"/>
  <c r="AB29" i="1"/>
  <c r="AC60" i="1"/>
  <c r="AC76" i="1"/>
  <c r="AC82" i="1"/>
  <c r="AB103" i="1"/>
  <c r="AC116" i="1"/>
  <c r="J7" i="1"/>
  <c r="K8" i="1"/>
  <c r="J10" i="1"/>
  <c r="K15" i="1"/>
  <c r="J16" i="1"/>
  <c r="F20" i="1"/>
  <c r="K33" i="1"/>
  <c r="K39" i="1"/>
  <c r="J44" i="1"/>
  <c r="K51" i="1"/>
  <c r="K53" i="1"/>
  <c r="K58" i="1"/>
  <c r="K61" i="1"/>
  <c r="K71" i="1"/>
  <c r="F74" i="1"/>
  <c r="J80" i="1"/>
  <c r="K83" i="1"/>
  <c r="F84" i="1"/>
  <c r="K86" i="1"/>
  <c r="K88" i="1"/>
  <c r="K111" i="1"/>
  <c r="K113" i="1"/>
  <c r="K119" i="1"/>
  <c r="K131" i="1"/>
  <c r="K138" i="1"/>
  <c r="AC8" i="1"/>
  <c r="W123" i="1"/>
  <c r="AC21" i="1"/>
  <c r="AC26" i="1"/>
  <c r="AC28" i="1"/>
  <c r="AC30" i="1"/>
  <c r="AB44" i="1"/>
  <c r="AB52" i="1"/>
  <c r="AC59" i="1"/>
  <c r="AC65" i="1"/>
  <c r="AC71" i="1"/>
  <c r="AC89" i="1"/>
  <c r="AC109" i="1"/>
  <c r="AC131" i="1"/>
  <c r="R19" i="4"/>
  <c r="L9" i="4"/>
  <c r="L10" i="4"/>
  <c r="L13" i="4"/>
  <c r="L14" i="4"/>
  <c r="O19" i="4"/>
  <c r="L11" i="4"/>
  <c r="L15" i="4"/>
  <c r="L16" i="4"/>
  <c r="L17" i="4"/>
  <c r="H19" i="4"/>
  <c r="K19" i="4"/>
  <c r="G19" i="4"/>
  <c r="S19" i="4"/>
  <c r="N19" i="4"/>
  <c r="Q19" i="4"/>
  <c r="AB10" i="1"/>
  <c r="AC38" i="1"/>
  <c r="AB84" i="1"/>
  <c r="X112" i="1"/>
  <c r="AB112" i="1"/>
  <c r="AC14" i="1"/>
  <c r="X20" i="1"/>
  <c r="X44" i="1"/>
  <c r="X52" i="1"/>
  <c r="X103" i="1"/>
  <c r="X117" i="1"/>
  <c r="X29" i="1"/>
  <c r="X35" i="1"/>
  <c r="X57" i="1"/>
  <c r="P62" i="1"/>
  <c r="P123" i="1" s="1"/>
  <c r="F10" i="1"/>
  <c r="K17" i="1"/>
  <c r="K42" i="1"/>
  <c r="AO20" i="1"/>
  <c r="AN20" i="1"/>
  <c r="AM20" i="1"/>
  <c r="N142" i="1" l="1"/>
  <c r="K125" i="1"/>
  <c r="K20" i="1"/>
  <c r="K62" i="1"/>
  <c r="D123" i="1"/>
  <c r="D142" i="1" s="1"/>
  <c r="H142" i="1"/>
  <c r="E142" i="1"/>
  <c r="AC125" i="1"/>
  <c r="S123" i="1"/>
  <c r="O123" i="1"/>
  <c r="G123" i="1"/>
  <c r="W142" i="1"/>
  <c r="X142" i="1" s="1"/>
  <c r="T80" i="1"/>
  <c r="AC48" i="1"/>
  <c r="AC62" i="1"/>
  <c r="K52" i="1"/>
  <c r="K16" i="1"/>
  <c r="K84" i="1"/>
  <c r="AC44" i="1"/>
  <c r="AC117" i="1"/>
  <c r="K80" i="1"/>
  <c r="T52" i="1"/>
  <c r="T57" i="1"/>
  <c r="K107" i="1"/>
  <c r="T107" i="1"/>
  <c r="T112" i="1"/>
  <c r="AC10" i="1"/>
  <c r="T48" i="1"/>
  <c r="K57" i="1"/>
  <c r="AC35" i="1"/>
  <c r="K117" i="1"/>
  <c r="K103" i="1"/>
  <c r="T94" i="1"/>
  <c r="AC52" i="1"/>
  <c r="T87" i="1"/>
  <c r="Q142" i="1"/>
  <c r="S62" i="1"/>
  <c r="AC74" i="1"/>
  <c r="AC103" i="1"/>
  <c r="AC67" i="1"/>
  <c r="K29" i="1"/>
  <c r="AC84" i="1"/>
  <c r="T103" i="1"/>
  <c r="P142" i="1"/>
  <c r="T84" i="1"/>
  <c r="AC107" i="1"/>
  <c r="K40" i="1"/>
  <c r="K10" i="1"/>
  <c r="K112" i="1"/>
  <c r="K94" i="1"/>
  <c r="K87" i="1"/>
  <c r="K67" i="1"/>
  <c r="K48" i="1"/>
  <c r="K74" i="1"/>
  <c r="AC29" i="1"/>
  <c r="AC20" i="1"/>
  <c r="K35" i="1"/>
  <c r="AC87" i="1"/>
  <c r="AC57" i="1"/>
  <c r="AB123" i="1"/>
  <c r="AB142" i="1" s="1"/>
  <c r="K44" i="1"/>
  <c r="K7" i="1"/>
  <c r="X123" i="1"/>
  <c r="AC112" i="1"/>
  <c r="C142" i="1"/>
  <c r="AE112" i="1"/>
  <c r="AE107" i="1"/>
  <c r="AE103" i="1"/>
  <c r="AE87" i="1"/>
  <c r="AE67" i="1"/>
  <c r="AE62" i="1"/>
  <c r="AE57" i="1"/>
  <c r="AE52" i="1"/>
  <c r="AE48" i="1"/>
  <c r="AE44" i="1"/>
  <c r="AE35" i="1"/>
  <c r="AE29" i="1"/>
  <c r="AE20" i="1"/>
  <c r="AE10" i="1"/>
  <c r="G142" i="1" l="1"/>
  <c r="J123" i="1"/>
  <c r="J142" i="1" s="1"/>
  <c r="K123" i="1"/>
  <c r="K142" i="1" s="1"/>
  <c r="T123" i="1"/>
  <c r="F142" i="1"/>
  <c r="S142" i="1"/>
  <c r="F123" i="1"/>
  <c r="AC142" i="1"/>
  <c r="AC123" i="1"/>
  <c r="V19" i="4" l="1"/>
  <c r="AR13" i="4" l="1"/>
  <c r="AQ13" i="4"/>
  <c r="AS13" i="4"/>
  <c r="AP13" i="4"/>
  <c r="AS12" i="4"/>
  <c r="AR12" i="4"/>
  <c r="AQ12" i="4"/>
  <c r="AP12" i="4"/>
  <c r="AL13" i="4"/>
  <c r="AK13" i="4" l="1"/>
  <c r="AJ13" i="4"/>
  <c r="AI13" i="4"/>
  <c r="AE13" i="4"/>
  <c r="AD13" i="4"/>
  <c r="AC13" i="4"/>
  <c r="AB13" i="4"/>
  <c r="AL12" i="4"/>
  <c r="AK12" i="4"/>
  <c r="AJ12" i="4"/>
  <c r="AI12" i="4"/>
  <c r="AE12" i="4"/>
  <c r="AD12" i="4"/>
  <c r="AC12" i="4"/>
  <c r="AB12" i="4"/>
  <c r="AQ112" i="1"/>
  <c r="AT102" i="1"/>
  <c r="AU102" i="1" s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D139" i="1" s="1"/>
  <c r="BC140" i="1"/>
  <c r="BD140" i="1" s="1"/>
  <c r="BC126" i="1"/>
  <c r="AY126" i="1"/>
  <c r="AP98" i="1"/>
  <c r="AU98" i="1" s="1"/>
  <c r="BC121" i="1"/>
  <c r="AT119" i="1"/>
  <c r="AT120" i="1"/>
  <c r="AT121" i="1"/>
  <c r="AR117" i="1"/>
  <c r="AS117" i="1"/>
  <c r="AQ117" i="1"/>
  <c r="AP119" i="1"/>
  <c r="AP120" i="1"/>
  <c r="AP121" i="1"/>
  <c r="AN117" i="1"/>
  <c r="AO117" i="1"/>
  <c r="AM117" i="1"/>
  <c r="AW117" i="1"/>
  <c r="AX117" i="1"/>
  <c r="AV117" i="1"/>
  <c r="BA117" i="1"/>
  <c r="BB117" i="1"/>
  <c r="AZ117" i="1"/>
  <c r="AP14" i="1" s="1"/>
  <c r="BB112" i="1"/>
  <c r="BA112" i="1"/>
  <c r="AZ112" i="1"/>
  <c r="AW112" i="1"/>
  <c r="AX112" i="1"/>
  <c r="AV112" i="1"/>
  <c r="AP114" i="1"/>
  <c r="AT114" i="1"/>
  <c r="AR112" i="1"/>
  <c r="AS112" i="1"/>
  <c r="AN112" i="1"/>
  <c r="AO112" i="1"/>
  <c r="AM112" i="1"/>
  <c r="BA107" i="1"/>
  <c r="BB107" i="1"/>
  <c r="AZ107" i="1"/>
  <c r="AW107" i="1"/>
  <c r="AX107" i="1"/>
  <c r="AV107" i="1"/>
  <c r="BA103" i="1"/>
  <c r="BB103" i="1"/>
  <c r="AZ103" i="1"/>
  <c r="AW103" i="1"/>
  <c r="AQ17" i="4" s="1"/>
  <c r="AX103" i="1"/>
  <c r="AR17" i="4" s="1"/>
  <c r="AV103" i="1"/>
  <c r="AP17" i="4" s="1"/>
  <c r="AT9" i="4"/>
  <c r="AS9" i="4"/>
  <c r="AQ9" i="4"/>
  <c r="AP9" i="4"/>
  <c r="AR87" i="1"/>
  <c r="AS87" i="1"/>
  <c r="AQ87" i="1"/>
  <c r="AP88" i="1"/>
  <c r="AP89" i="1"/>
  <c r="AP90" i="1"/>
  <c r="AP91" i="1"/>
  <c r="AP92" i="1"/>
  <c r="AU92" i="1" s="1"/>
  <c r="AP93" i="1"/>
  <c r="AN87" i="1"/>
  <c r="AO87" i="1"/>
  <c r="AM87" i="1"/>
  <c r="BA87" i="1"/>
  <c r="BB87" i="1"/>
  <c r="AZ87" i="1"/>
  <c r="AW87" i="1"/>
  <c r="AX87" i="1"/>
  <c r="AV87" i="1"/>
  <c r="BA80" i="1"/>
  <c r="BB80" i="1"/>
  <c r="AZ80" i="1"/>
  <c r="AW80" i="1"/>
  <c r="AX80" i="1"/>
  <c r="AV80" i="1"/>
  <c r="BA74" i="1"/>
  <c r="BB74" i="1"/>
  <c r="AZ74" i="1"/>
  <c r="AW74" i="1"/>
  <c r="AX74" i="1"/>
  <c r="AV74" i="1"/>
  <c r="BA67" i="1"/>
  <c r="BB67" i="1"/>
  <c r="AZ67" i="1"/>
  <c r="AW67" i="1"/>
  <c r="AX67" i="1"/>
  <c r="AV67" i="1"/>
  <c r="AP66" i="1"/>
  <c r="AU66" i="1" s="1"/>
  <c r="BA62" i="1"/>
  <c r="BB62" i="1"/>
  <c r="AZ62" i="1"/>
  <c r="AW62" i="1"/>
  <c r="AX62" i="1"/>
  <c r="AV62" i="1"/>
  <c r="AY125" i="1" l="1"/>
  <c r="BC125" i="1"/>
  <c r="AM15" i="4"/>
  <c r="AR9" i="4"/>
  <c r="AY99" i="1"/>
  <c r="AT15" i="4"/>
  <c r="BD132" i="1"/>
  <c r="BD131" i="1"/>
  <c r="AI15" i="4"/>
  <c r="AT17" i="4"/>
  <c r="AS17" i="4"/>
  <c r="AT87" i="1"/>
  <c r="AT112" i="1"/>
  <c r="AP15" i="4"/>
  <c r="AK15" i="4"/>
  <c r="AP94" i="1"/>
  <c r="AN13" i="4"/>
  <c r="BD127" i="1"/>
  <c r="AR15" i="4"/>
  <c r="AT94" i="1"/>
  <c r="AP87" i="1"/>
  <c r="AJ15" i="4"/>
  <c r="AN12" i="4"/>
  <c r="AS15" i="4"/>
  <c r="BD128" i="1"/>
  <c r="AQ15" i="4"/>
  <c r="BD138" i="1"/>
  <c r="BD133" i="1"/>
  <c r="AL15" i="4"/>
  <c r="AU121" i="1"/>
  <c r="AU114" i="1"/>
  <c r="BD130" i="1"/>
  <c r="AP117" i="1"/>
  <c r="BD135" i="1"/>
  <c r="BC112" i="1"/>
  <c r="BD134" i="1"/>
  <c r="AP112" i="1"/>
  <c r="BD126" i="1"/>
  <c r="BD137" i="1"/>
  <c r="BD136" i="1"/>
  <c r="BD129" i="1"/>
  <c r="BA57" i="1"/>
  <c r="BB57" i="1"/>
  <c r="AZ57" i="1"/>
  <c r="AX57" i="1"/>
  <c r="AW57" i="1"/>
  <c r="AV57" i="1"/>
  <c r="AZ52" i="1"/>
  <c r="AS16" i="4" s="1"/>
  <c r="BA52" i="1"/>
  <c r="BB52" i="1"/>
  <c r="AW52" i="1"/>
  <c r="AX52" i="1"/>
  <c r="AV52" i="1"/>
  <c r="BC50" i="1"/>
  <c r="BA48" i="1"/>
  <c r="BB48" i="1"/>
  <c r="AT14" i="4" s="1"/>
  <c r="AZ48" i="1"/>
  <c r="AS14" i="4" s="1"/>
  <c r="AW48" i="1"/>
  <c r="AQ14" i="4" s="1"/>
  <c r="AX48" i="1"/>
  <c r="AR14" i="4" s="1"/>
  <c r="AV48" i="1"/>
  <c r="AP14" i="4" s="1"/>
  <c r="BB44" i="1"/>
  <c r="BA44" i="1"/>
  <c r="AZ44" i="1"/>
  <c r="AW44" i="1"/>
  <c r="AX44" i="1"/>
  <c r="AV44" i="1"/>
  <c r="BD125" i="1" l="1"/>
  <c r="AT16" i="4"/>
  <c r="AU94" i="1"/>
  <c r="AU87" i="1"/>
  <c r="AU112" i="1"/>
  <c r="AR16" i="4"/>
  <c r="AN15" i="4"/>
  <c r="AP16" i="4"/>
  <c r="AQ16" i="4"/>
  <c r="BA35" i="1"/>
  <c r="BB35" i="1"/>
  <c r="AZ35" i="1"/>
  <c r="AW35" i="1"/>
  <c r="AQ11" i="4" s="1"/>
  <c r="AX35" i="1"/>
  <c r="AV35" i="1"/>
  <c r="AP11" i="4" s="1"/>
  <c r="AR11" i="4" l="1"/>
  <c r="BA29" i="1"/>
  <c r="BB29" i="1"/>
  <c r="AZ29" i="1"/>
  <c r="AX29" i="1"/>
  <c r="AW29" i="1"/>
  <c r="AV29" i="1"/>
  <c r="BA20" i="1"/>
  <c r="BB20" i="1"/>
  <c r="AZ20" i="1"/>
  <c r="AS11" i="4" s="1"/>
  <c r="AW20" i="1"/>
  <c r="AX20" i="1"/>
  <c r="AV20" i="1"/>
  <c r="AY11" i="1"/>
  <c r="AY12" i="1"/>
  <c r="AY13" i="1"/>
  <c r="AY14" i="1"/>
  <c r="AY15" i="1"/>
  <c r="AY17" i="1"/>
  <c r="AY18" i="1"/>
  <c r="AY19" i="1"/>
  <c r="AY21" i="1"/>
  <c r="AY22" i="1"/>
  <c r="AY23" i="1"/>
  <c r="AY24" i="1"/>
  <c r="AY25" i="1"/>
  <c r="AY26" i="1"/>
  <c r="AY27" i="1"/>
  <c r="AY28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100" i="1"/>
  <c r="AY101" i="1"/>
  <c r="AY102" i="1"/>
  <c r="AY103" i="1"/>
  <c r="AY104" i="1"/>
  <c r="AY105" i="1"/>
  <c r="AY106" i="1"/>
  <c r="AY107" i="1"/>
  <c r="AY108" i="1"/>
  <c r="AY109" i="1"/>
  <c r="AY110" i="1"/>
  <c r="AY112" i="1"/>
  <c r="AY113" i="1"/>
  <c r="AY114" i="1"/>
  <c r="AY115" i="1"/>
  <c r="AY116" i="1"/>
  <c r="AY117" i="1"/>
  <c r="AY118" i="1"/>
  <c r="AY119" i="1"/>
  <c r="AY120" i="1"/>
  <c r="AY121" i="1"/>
  <c r="BA10" i="1"/>
  <c r="BB10" i="1"/>
  <c r="AZ10" i="1"/>
  <c r="AW10" i="1"/>
  <c r="AX10" i="1"/>
  <c r="AV10" i="1"/>
  <c r="BC8" i="1"/>
  <c r="BC9" i="1"/>
  <c r="BC11" i="1"/>
  <c r="BC12" i="1"/>
  <c r="BC13" i="1"/>
  <c r="BC14" i="1"/>
  <c r="BC15" i="1"/>
  <c r="BC17" i="1"/>
  <c r="BC18" i="1"/>
  <c r="BC19" i="1"/>
  <c r="BC21" i="1"/>
  <c r="BC25" i="1"/>
  <c r="BC26" i="1"/>
  <c r="BC27" i="1"/>
  <c r="BC28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D99" i="1" s="1"/>
  <c r="BC100" i="1"/>
  <c r="BC101" i="1"/>
  <c r="BC102" i="1"/>
  <c r="BC103" i="1"/>
  <c r="BC104" i="1"/>
  <c r="BC105" i="1"/>
  <c r="BC106" i="1"/>
  <c r="BC107" i="1"/>
  <c r="BC108" i="1"/>
  <c r="BC109" i="1"/>
  <c r="BC113" i="1"/>
  <c r="BC114" i="1"/>
  <c r="BC115" i="1"/>
  <c r="BC116" i="1"/>
  <c r="BC117" i="1"/>
  <c r="BC118" i="1"/>
  <c r="BC119" i="1"/>
  <c r="BC120" i="1"/>
  <c r="AY8" i="1"/>
  <c r="AY9" i="1"/>
  <c r="AZ123" i="1" l="1"/>
  <c r="BA123" i="1"/>
  <c r="AT10" i="4"/>
  <c r="BB123" i="1"/>
  <c r="BB142" i="1" s="1"/>
  <c r="BD38" i="1"/>
  <c r="BD91" i="1"/>
  <c r="BD76" i="1"/>
  <c r="AP10" i="4"/>
  <c r="AW123" i="1"/>
  <c r="AW142" i="1" s="1"/>
  <c r="AX123" i="1"/>
  <c r="AX142" i="1" s="1"/>
  <c r="AR10" i="4"/>
  <c r="AT11" i="4"/>
  <c r="AU11" i="4" s="1"/>
  <c r="AZ142" i="1"/>
  <c r="AV123" i="1"/>
  <c r="BD45" i="1"/>
  <c r="BD107" i="1"/>
  <c r="AS10" i="4"/>
  <c r="BD115" i="1"/>
  <c r="BD83" i="1"/>
  <c r="BD101" i="1"/>
  <c r="BD96" i="1"/>
  <c r="BD77" i="1"/>
  <c r="BD71" i="1"/>
  <c r="BD67" i="1"/>
  <c r="BD55" i="1"/>
  <c r="BD51" i="1"/>
  <c r="BD80" i="1"/>
  <c r="BD88" i="1"/>
  <c r="BD119" i="1"/>
  <c r="AQ10" i="4"/>
  <c r="AP8" i="4"/>
  <c r="AQ8" i="4"/>
  <c r="BD120" i="1"/>
  <c r="BD110" i="1"/>
  <c r="AR8" i="4"/>
  <c r="AS8" i="4"/>
  <c r="BD94" i="1"/>
  <c r="BD112" i="1"/>
  <c r="BD108" i="1"/>
  <c r="BD111" i="1"/>
  <c r="BD103" i="1"/>
  <c r="BD95" i="1"/>
  <c r="BD87" i="1"/>
  <c r="BD116" i="1"/>
  <c r="BD104" i="1"/>
  <c r="BD98" i="1"/>
  <c r="BD92" i="1"/>
  <c r="BD84" i="1"/>
  <c r="BD81" i="1"/>
  <c r="BD69" i="1"/>
  <c r="BD53" i="1"/>
  <c r="BD70" i="1"/>
  <c r="BD66" i="1"/>
  <c r="BD63" i="1"/>
  <c r="BD62" i="1"/>
  <c r="BD8" i="1"/>
  <c r="BD11" i="1"/>
  <c r="BD47" i="1"/>
  <c r="BD19" i="1"/>
  <c r="BD118" i="1"/>
  <c r="BD114" i="1"/>
  <c r="BD106" i="1"/>
  <c r="BD102" i="1"/>
  <c r="BD100" i="1"/>
  <c r="BD90" i="1"/>
  <c r="BD86" i="1"/>
  <c r="BD79" i="1"/>
  <c r="BD75" i="1"/>
  <c r="BD65" i="1"/>
  <c r="BD34" i="1"/>
  <c r="BD30" i="1"/>
  <c r="BD57" i="1"/>
  <c r="BD58" i="1"/>
  <c r="BD61" i="1"/>
  <c r="BD59" i="1"/>
  <c r="BD54" i="1"/>
  <c r="BD49" i="1"/>
  <c r="BD27" i="1"/>
  <c r="BD50" i="1"/>
  <c r="BD46" i="1"/>
  <c r="BD42" i="1"/>
  <c r="BD39" i="1"/>
  <c r="BD35" i="1"/>
  <c r="BD31" i="1"/>
  <c r="BC29" i="1"/>
  <c r="AY29" i="1"/>
  <c r="BD26" i="1"/>
  <c r="BD113" i="1"/>
  <c r="BD97" i="1"/>
  <c r="BD78" i="1"/>
  <c r="BD64" i="1"/>
  <c r="BD48" i="1"/>
  <c r="BD37" i="1"/>
  <c r="BD25" i="1"/>
  <c r="BD12" i="1"/>
  <c r="BD18" i="1"/>
  <c r="BD121" i="1"/>
  <c r="BD109" i="1"/>
  <c r="BD93" i="1"/>
  <c r="BD85" i="1"/>
  <c r="BD74" i="1"/>
  <c r="BD68" i="1"/>
  <c r="BD56" i="1"/>
  <c r="BD44" i="1"/>
  <c r="BD33" i="1"/>
  <c r="BD43" i="1"/>
  <c r="BD40" i="1"/>
  <c r="BD36" i="1"/>
  <c r="BD32" i="1"/>
  <c r="BD28" i="1"/>
  <c r="BD24" i="1"/>
  <c r="BD105" i="1"/>
  <c r="BD89" i="1"/>
  <c r="BD82" i="1"/>
  <c r="BD73" i="1"/>
  <c r="BD60" i="1"/>
  <c r="BD52" i="1"/>
  <c r="BD41" i="1"/>
  <c r="BD23" i="1"/>
  <c r="BD22" i="1"/>
  <c r="BC20" i="1"/>
  <c r="AY20" i="1"/>
  <c r="BD21" i="1"/>
  <c r="BD17" i="1"/>
  <c r="BC16" i="1"/>
  <c r="AY16" i="1"/>
  <c r="BD15" i="1"/>
  <c r="BC10" i="1"/>
  <c r="BD14" i="1"/>
  <c r="BD13" i="1"/>
  <c r="AY10" i="1"/>
  <c r="BC7" i="1"/>
  <c r="AY7" i="1"/>
  <c r="BD9" i="1"/>
  <c r="AG98" i="1"/>
  <c r="AL98" i="1" s="1"/>
  <c r="AG121" i="1"/>
  <c r="AL121" i="1" s="1"/>
  <c r="AJ117" i="1"/>
  <c r="AI117" i="1"/>
  <c r="AH117" i="1"/>
  <c r="AK115" i="1"/>
  <c r="AK116" i="1"/>
  <c r="AK114" i="1"/>
  <c r="AJ112" i="1"/>
  <c r="AI112" i="1"/>
  <c r="AH112" i="1"/>
  <c r="AF112" i="1"/>
  <c r="AG114" i="1"/>
  <c r="AD112" i="1"/>
  <c r="BC123" i="1" l="1"/>
  <c r="BC142" i="1" s="1"/>
  <c r="BA142" i="1"/>
  <c r="AY123" i="1"/>
  <c r="AF15" i="4"/>
  <c r="AV142" i="1"/>
  <c r="AY142" i="1" s="1"/>
  <c r="AU8" i="4"/>
  <c r="AE15" i="4"/>
  <c r="BD117" i="1"/>
  <c r="AC15" i="4"/>
  <c r="AB15" i="4"/>
  <c r="AD15" i="4"/>
  <c r="BD29" i="1"/>
  <c r="AL114" i="1"/>
  <c r="BD7" i="1"/>
  <c r="BD20" i="1"/>
  <c r="BD16" i="1"/>
  <c r="BD10" i="1"/>
  <c r="BD123" i="1" l="1"/>
  <c r="BD142" i="1" s="1"/>
  <c r="AJ87" i="1"/>
  <c r="AI87" i="1"/>
  <c r="AH87" i="1"/>
  <c r="AF87" i="1"/>
  <c r="AD87" i="1"/>
  <c r="AK92" i="1"/>
  <c r="AG92" i="1"/>
  <c r="AG68" i="1"/>
  <c r="AG69" i="1"/>
  <c r="AG70" i="1"/>
  <c r="AG71" i="1"/>
  <c r="AG73" i="1"/>
  <c r="AL92" i="1" l="1"/>
  <c r="AP134" i="1"/>
  <c r="AU134" i="1" s="1"/>
  <c r="AP135" i="1"/>
  <c r="AU135" i="1" s="1"/>
  <c r="AP136" i="1"/>
  <c r="AP137" i="1"/>
  <c r="AP138" i="1"/>
  <c r="AP127" i="1"/>
  <c r="AP128" i="1"/>
  <c r="AP129" i="1"/>
  <c r="AP130" i="1"/>
  <c r="AP131" i="1"/>
  <c r="AP132" i="1"/>
  <c r="AP133" i="1"/>
  <c r="AN107" i="1"/>
  <c r="AO107" i="1"/>
  <c r="AQ107" i="1"/>
  <c r="AS107" i="1"/>
  <c r="AN103" i="1"/>
  <c r="AJ17" i="4" s="1"/>
  <c r="AO103" i="1"/>
  <c r="AK17" i="4" s="1"/>
  <c r="AQ103" i="1"/>
  <c r="AL17" i="4" s="1"/>
  <c r="AR103" i="1"/>
  <c r="AS103" i="1"/>
  <c r="AM17" i="4" s="1"/>
  <c r="AJ9" i="4"/>
  <c r="AK9" i="4"/>
  <c r="AL9" i="4"/>
  <c r="AM9" i="4"/>
  <c r="AQ84" i="1"/>
  <c r="AR84" i="1"/>
  <c r="AS84" i="1"/>
  <c r="AN84" i="1"/>
  <c r="AO84" i="1"/>
  <c r="AS74" i="1"/>
  <c r="AQ74" i="1"/>
  <c r="AR74" i="1"/>
  <c r="AN74" i="1"/>
  <c r="AO74" i="1"/>
  <c r="AQ67" i="1"/>
  <c r="AR67" i="1"/>
  <c r="AS67" i="1"/>
  <c r="AO67" i="1"/>
  <c r="AN67" i="1"/>
  <c r="AN62" i="1"/>
  <c r="AO62" i="1"/>
  <c r="AQ62" i="1"/>
  <c r="AR62" i="1"/>
  <c r="AS62" i="1"/>
  <c r="AN57" i="1"/>
  <c r="AO57" i="1"/>
  <c r="AQ57" i="1"/>
  <c r="AR57" i="1"/>
  <c r="AS57" i="1"/>
  <c r="AN52" i="1"/>
  <c r="AO52" i="1"/>
  <c r="AQ52" i="1"/>
  <c r="AR52" i="1"/>
  <c r="AS52" i="1"/>
  <c r="AN48" i="1"/>
  <c r="AJ14" i="4" s="1"/>
  <c r="AO48" i="1"/>
  <c r="AK14" i="4" s="1"/>
  <c r="AQ48" i="1"/>
  <c r="AL14" i="4" s="1"/>
  <c r="AR48" i="1"/>
  <c r="AS48" i="1"/>
  <c r="AN44" i="1"/>
  <c r="AO44" i="1"/>
  <c r="AQ44" i="1"/>
  <c r="AR44" i="1"/>
  <c r="AS44" i="1"/>
  <c r="AN35" i="1"/>
  <c r="AO35" i="1"/>
  <c r="AQ35" i="1"/>
  <c r="AR35" i="1"/>
  <c r="AS35" i="1"/>
  <c r="AN29" i="1"/>
  <c r="AO29" i="1"/>
  <c r="AQ29" i="1"/>
  <c r="AR29" i="1"/>
  <c r="AM10" i="4" s="1"/>
  <c r="AS29" i="1"/>
  <c r="AQ20" i="1"/>
  <c r="AR20" i="1"/>
  <c r="AS20" i="1"/>
  <c r="AN10" i="1"/>
  <c r="AO10" i="1"/>
  <c r="AQ10" i="1"/>
  <c r="AR10" i="1"/>
  <c r="AS10" i="1"/>
  <c r="AG138" i="1"/>
  <c r="AG136" i="1"/>
  <c r="AG137" i="1"/>
  <c r="AG131" i="1"/>
  <c r="AG132" i="1"/>
  <c r="AG133" i="1"/>
  <c r="AG134" i="1"/>
  <c r="AG135" i="1"/>
  <c r="AG128" i="1"/>
  <c r="AG129" i="1"/>
  <c r="AG130" i="1"/>
  <c r="AG127" i="1"/>
  <c r="AF107" i="1"/>
  <c r="AH107" i="1"/>
  <c r="AI107" i="1"/>
  <c r="AJ107" i="1"/>
  <c r="AC17" i="4"/>
  <c r="AF103" i="1"/>
  <c r="AH103" i="1"/>
  <c r="AE17" i="4" s="1"/>
  <c r="AI103" i="1"/>
  <c r="AJ103" i="1"/>
  <c r="AF17" i="4" s="1"/>
  <c r="AC9" i="4"/>
  <c r="AJ84" i="1"/>
  <c r="AI84" i="1"/>
  <c r="AH84" i="1"/>
  <c r="AF84" i="1"/>
  <c r="AE84" i="1"/>
  <c r="AJ74" i="1"/>
  <c r="AI74" i="1"/>
  <c r="AH74" i="1"/>
  <c r="AF74" i="1"/>
  <c r="AE74" i="1"/>
  <c r="AJ67" i="1"/>
  <c r="AI67" i="1"/>
  <c r="AH67" i="1"/>
  <c r="AF67" i="1"/>
  <c r="AJ62" i="1"/>
  <c r="AI62" i="1"/>
  <c r="AH62" i="1"/>
  <c r="AF62" i="1"/>
  <c r="AJ57" i="1"/>
  <c r="AI57" i="1"/>
  <c r="AH57" i="1"/>
  <c r="AF57" i="1"/>
  <c r="AJ52" i="1"/>
  <c r="AI52" i="1"/>
  <c r="AH52" i="1"/>
  <c r="AF52" i="1"/>
  <c r="AJ48" i="1"/>
  <c r="AI48" i="1"/>
  <c r="AH48" i="1"/>
  <c r="AE14" i="4" s="1"/>
  <c r="AF48" i="1"/>
  <c r="AD14" i="4" s="1"/>
  <c r="AC14" i="4"/>
  <c r="AJ44" i="1"/>
  <c r="AI44" i="1"/>
  <c r="AH44" i="1"/>
  <c r="AF44" i="1"/>
  <c r="AJ35" i="1"/>
  <c r="AI35" i="1"/>
  <c r="AH35" i="1"/>
  <c r="AF35" i="1"/>
  <c r="AJ29" i="1"/>
  <c r="AI29" i="1"/>
  <c r="AH29" i="1"/>
  <c r="AF29" i="1"/>
  <c r="AJ20" i="1"/>
  <c r="AI20" i="1"/>
  <c r="AH20" i="1"/>
  <c r="AF20" i="1"/>
  <c r="AJ10" i="1"/>
  <c r="AI10" i="1"/>
  <c r="AH10" i="1"/>
  <c r="AF10" i="1"/>
  <c r="AJ11" i="4" l="1"/>
  <c r="AS123" i="1"/>
  <c r="AS142" i="1" s="1"/>
  <c r="AN123" i="1"/>
  <c r="AN142" i="1" s="1"/>
  <c r="AR123" i="1"/>
  <c r="AR142" i="1" s="1"/>
  <c r="AQ123" i="1"/>
  <c r="AQ142" i="1" s="1"/>
  <c r="AO123" i="1"/>
  <c r="AO142" i="1" s="1"/>
  <c r="AE123" i="1"/>
  <c r="AE142" i="1" s="1"/>
  <c r="AF14" i="4"/>
  <c r="AL10" i="4"/>
  <c r="AF16" i="4"/>
  <c r="AF8" i="4"/>
  <c r="AM14" i="4"/>
  <c r="AM16" i="4"/>
  <c r="AP107" i="1"/>
  <c r="AF11" i="4"/>
  <c r="AM11" i="4"/>
  <c r="AJ16" i="4"/>
  <c r="AL8" i="4"/>
  <c r="AF9" i="4"/>
  <c r="AF10" i="4"/>
  <c r="Y10" i="4"/>
  <c r="AL11" i="4"/>
  <c r="AE9" i="4"/>
  <c r="X19" i="4"/>
  <c r="AD9" i="4"/>
  <c r="W19" i="4"/>
  <c r="AD11" i="4"/>
  <c r="AE10" i="4"/>
  <c r="AC10" i="4"/>
  <c r="AK11" i="4"/>
  <c r="AC8" i="4"/>
  <c r="AD16" i="4"/>
  <c r="AL16" i="4"/>
  <c r="AD8" i="4"/>
  <c r="AE11" i="4"/>
  <c r="AC11" i="4"/>
  <c r="AE16" i="4"/>
  <c r="AK16" i="4"/>
  <c r="AJ8" i="4"/>
  <c r="AD10" i="4"/>
  <c r="AD17" i="4"/>
  <c r="AC16" i="4"/>
  <c r="AK10" i="4"/>
  <c r="AJ10" i="4"/>
  <c r="AE8" i="4"/>
  <c r="AK8" i="4"/>
  <c r="AF123" i="1"/>
  <c r="AF142" i="1" s="1"/>
  <c r="AI123" i="1"/>
  <c r="AI142" i="1" s="1"/>
  <c r="AH123" i="1"/>
  <c r="AH142" i="1" s="1"/>
  <c r="AJ123" i="1"/>
  <c r="AJ142" i="1" s="1"/>
  <c r="AT123" i="1" l="1"/>
  <c r="Y19" i="4"/>
  <c r="AD20" i="1" l="1"/>
  <c r="AU12" i="4" l="1"/>
  <c r="AT140" i="1" l="1"/>
  <c r="AU140" i="1" s="1"/>
  <c r="AK140" i="1"/>
  <c r="AL140" i="1" s="1"/>
  <c r="AT139" i="1"/>
  <c r="AU139" i="1" s="1"/>
  <c r="AL139" i="1"/>
  <c r="AT138" i="1"/>
  <c r="AU138" i="1" s="1"/>
  <c r="AK138" i="1"/>
  <c r="AT137" i="1"/>
  <c r="AU137" i="1" s="1"/>
  <c r="AK137" i="1"/>
  <c r="AU136" i="1"/>
  <c r="AK136" i="1"/>
  <c r="AL136" i="1" s="1"/>
  <c r="AL135" i="1"/>
  <c r="AL134" i="1"/>
  <c r="AT133" i="1"/>
  <c r="AU133" i="1" s="1"/>
  <c r="AK133" i="1"/>
  <c r="AT132" i="1"/>
  <c r="AU132" i="1" s="1"/>
  <c r="AK132" i="1"/>
  <c r="AT131" i="1"/>
  <c r="AU131" i="1" s="1"/>
  <c r="AK131" i="1"/>
  <c r="AT130" i="1"/>
  <c r="AU130" i="1" s="1"/>
  <c r="AK130" i="1"/>
  <c r="AT129" i="1"/>
  <c r="AU129" i="1" s="1"/>
  <c r="AK129" i="1"/>
  <c r="AT128" i="1"/>
  <c r="AU128" i="1" s="1"/>
  <c r="AK128" i="1"/>
  <c r="AT127" i="1"/>
  <c r="AU127" i="1" s="1"/>
  <c r="AK127" i="1"/>
  <c r="AT126" i="1"/>
  <c r="AP126" i="1"/>
  <c r="AP125" i="1" s="1"/>
  <c r="AK126" i="1"/>
  <c r="AG126" i="1"/>
  <c r="AG125" i="1" s="1"/>
  <c r="AT124" i="1"/>
  <c r="AU124" i="1" s="1"/>
  <c r="AT122" i="1"/>
  <c r="AU122" i="1" s="1"/>
  <c r="AK120" i="1"/>
  <c r="AG120" i="1"/>
  <c r="AK119" i="1"/>
  <c r="AG119" i="1"/>
  <c r="AT118" i="1"/>
  <c r="AP118" i="1"/>
  <c r="AK118" i="1"/>
  <c r="AG118" i="1"/>
  <c r="AT116" i="1"/>
  <c r="AP116" i="1"/>
  <c r="AG116" i="1"/>
  <c r="AL116" i="1" s="1"/>
  <c r="AT115" i="1"/>
  <c r="AP115" i="1"/>
  <c r="AG115" i="1"/>
  <c r="AL115" i="1" s="1"/>
  <c r="AT113" i="1"/>
  <c r="AP113" i="1"/>
  <c r="AK113" i="1"/>
  <c r="AK112" i="1" s="1"/>
  <c r="AG113" i="1"/>
  <c r="AT111" i="1"/>
  <c r="AK111" i="1"/>
  <c r="AG111" i="1"/>
  <c r="AT110" i="1"/>
  <c r="AP110" i="1"/>
  <c r="AK110" i="1"/>
  <c r="AG110" i="1"/>
  <c r="AT109" i="1"/>
  <c r="AP109" i="1"/>
  <c r="AK109" i="1"/>
  <c r="AG109" i="1"/>
  <c r="AT108" i="1"/>
  <c r="AP108" i="1"/>
  <c r="AK108" i="1"/>
  <c r="AG108" i="1"/>
  <c r="AD107" i="1"/>
  <c r="AT106" i="1"/>
  <c r="AP106" i="1"/>
  <c r="AK106" i="1"/>
  <c r="AG106" i="1"/>
  <c r="AT105" i="1"/>
  <c r="AP105" i="1"/>
  <c r="AK105" i="1"/>
  <c r="AG105" i="1"/>
  <c r="AT104" i="1"/>
  <c r="AP104" i="1"/>
  <c r="AK104" i="1"/>
  <c r="AG104" i="1"/>
  <c r="AM103" i="1"/>
  <c r="AI17" i="4" s="1"/>
  <c r="AN17" i="4" s="1"/>
  <c r="AD103" i="1"/>
  <c r="AB17" i="4" s="1"/>
  <c r="AK102" i="1"/>
  <c r="AL102" i="1" s="1"/>
  <c r="AT101" i="1"/>
  <c r="AP101" i="1"/>
  <c r="AK101" i="1"/>
  <c r="AG101" i="1"/>
  <c r="AT100" i="1"/>
  <c r="AP100" i="1"/>
  <c r="AK100" i="1"/>
  <c r="AG100" i="1"/>
  <c r="AI9" i="4"/>
  <c r="AN9" i="4" s="1"/>
  <c r="AT97" i="1"/>
  <c r="AP97" i="1"/>
  <c r="AK97" i="1"/>
  <c r="AG97" i="1"/>
  <c r="AT96" i="1"/>
  <c r="AP96" i="1"/>
  <c r="AK96" i="1"/>
  <c r="AG96" i="1"/>
  <c r="AT95" i="1"/>
  <c r="AP95" i="1"/>
  <c r="AK95" i="1"/>
  <c r="AG95" i="1"/>
  <c r="AT93" i="1"/>
  <c r="AK93" i="1"/>
  <c r="AG93" i="1"/>
  <c r="AT91" i="1"/>
  <c r="AK91" i="1"/>
  <c r="AG91" i="1"/>
  <c r="AT90" i="1"/>
  <c r="AK90" i="1"/>
  <c r="AG90" i="1"/>
  <c r="AT89" i="1"/>
  <c r="AK89" i="1"/>
  <c r="AG89" i="1"/>
  <c r="AT88" i="1"/>
  <c r="AK88" i="1"/>
  <c r="AG88" i="1"/>
  <c r="AT86" i="1"/>
  <c r="AP86" i="1"/>
  <c r="AK86" i="1"/>
  <c r="AG86" i="1"/>
  <c r="AT85" i="1"/>
  <c r="AP85" i="1"/>
  <c r="AK85" i="1"/>
  <c r="AG85" i="1"/>
  <c r="AM84" i="1"/>
  <c r="AD84" i="1"/>
  <c r="AT83" i="1"/>
  <c r="AP83" i="1"/>
  <c r="AK83" i="1"/>
  <c r="AG83" i="1"/>
  <c r="AT82" i="1"/>
  <c r="AP82" i="1"/>
  <c r="AK82" i="1"/>
  <c r="AG82" i="1"/>
  <c r="AT81" i="1"/>
  <c r="AP81" i="1"/>
  <c r="AK81" i="1"/>
  <c r="AG81" i="1"/>
  <c r="AT79" i="1"/>
  <c r="AP79" i="1"/>
  <c r="AK79" i="1"/>
  <c r="AG79" i="1"/>
  <c r="AT78" i="1"/>
  <c r="AP78" i="1"/>
  <c r="AK78" i="1"/>
  <c r="AG78" i="1"/>
  <c r="AT77" i="1"/>
  <c r="AP77" i="1"/>
  <c r="AK77" i="1"/>
  <c r="AG77" i="1"/>
  <c r="AT76" i="1"/>
  <c r="AP76" i="1"/>
  <c r="AK76" i="1"/>
  <c r="AG76" i="1"/>
  <c r="AT75" i="1"/>
  <c r="AP75" i="1"/>
  <c r="AK75" i="1"/>
  <c r="AG75" i="1"/>
  <c r="AM74" i="1"/>
  <c r="AD74" i="1"/>
  <c r="AT73" i="1"/>
  <c r="AP73" i="1"/>
  <c r="AK73" i="1"/>
  <c r="AT71" i="1"/>
  <c r="AP71" i="1"/>
  <c r="AK71" i="1"/>
  <c r="AL71" i="1" s="1"/>
  <c r="AT70" i="1"/>
  <c r="AP70" i="1"/>
  <c r="AK70" i="1"/>
  <c r="AT69" i="1"/>
  <c r="AP69" i="1"/>
  <c r="AK69" i="1"/>
  <c r="AT68" i="1"/>
  <c r="AP68" i="1"/>
  <c r="AK68" i="1"/>
  <c r="AM67" i="1"/>
  <c r="AD67" i="1"/>
  <c r="AG67" i="1" s="1"/>
  <c r="AK66" i="1"/>
  <c r="AL66" i="1" s="1"/>
  <c r="AT65" i="1"/>
  <c r="AP65" i="1"/>
  <c r="AK65" i="1"/>
  <c r="AG65" i="1"/>
  <c r="AT64" i="1"/>
  <c r="AP64" i="1"/>
  <c r="AK64" i="1"/>
  <c r="AG64" i="1"/>
  <c r="AT63" i="1"/>
  <c r="AP63" i="1"/>
  <c r="AK63" i="1"/>
  <c r="AG63" i="1"/>
  <c r="AM62" i="1"/>
  <c r="AD62" i="1"/>
  <c r="AT61" i="1"/>
  <c r="AP61" i="1"/>
  <c r="AK61" i="1"/>
  <c r="AG61" i="1"/>
  <c r="AT60" i="1"/>
  <c r="AP60" i="1"/>
  <c r="AK60" i="1"/>
  <c r="AG60" i="1"/>
  <c r="AT59" i="1"/>
  <c r="AP59" i="1"/>
  <c r="AK59" i="1"/>
  <c r="AG59" i="1"/>
  <c r="AT58" i="1"/>
  <c r="AP58" i="1"/>
  <c r="AK58" i="1"/>
  <c r="AG58" i="1"/>
  <c r="AM57" i="1"/>
  <c r="AD57" i="1"/>
  <c r="AT56" i="1"/>
  <c r="AP56" i="1"/>
  <c r="AK56" i="1"/>
  <c r="AG56" i="1"/>
  <c r="AT55" i="1"/>
  <c r="AP55" i="1"/>
  <c r="AK55" i="1"/>
  <c r="AG55" i="1"/>
  <c r="AT54" i="1"/>
  <c r="AP54" i="1"/>
  <c r="AK54" i="1"/>
  <c r="AG54" i="1"/>
  <c r="AT53" i="1"/>
  <c r="AP53" i="1"/>
  <c r="AK53" i="1"/>
  <c r="AG53" i="1"/>
  <c r="AM52" i="1"/>
  <c r="AD52" i="1"/>
  <c r="AT51" i="1"/>
  <c r="AP51" i="1"/>
  <c r="AK51" i="1"/>
  <c r="AG51" i="1"/>
  <c r="AT50" i="1"/>
  <c r="AP50" i="1"/>
  <c r="AK50" i="1"/>
  <c r="AG50" i="1"/>
  <c r="AT49" i="1"/>
  <c r="AP49" i="1"/>
  <c r="AK49" i="1"/>
  <c r="AG49" i="1"/>
  <c r="AM48" i="1"/>
  <c r="AI14" i="4" s="1"/>
  <c r="AN14" i="4" s="1"/>
  <c r="AD48" i="1"/>
  <c r="AB14" i="4" s="1"/>
  <c r="AT47" i="1"/>
  <c r="AP47" i="1"/>
  <c r="AK47" i="1"/>
  <c r="AG47" i="1"/>
  <c r="AT46" i="1"/>
  <c r="AP46" i="1"/>
  <c r="AK46" i="1"/>
  <c r="AG46" i="1"/>
  <c r="AT45" i="1"/>
  <c r="AP45" i="1"/>
  <c r="AK45" i="1"/>
  <c r="AG45" i="1"/>
  <c r="AM44" i="1"/>
  <c r="AD44" i="1"/>
  <c r="AB8" i="4" s="1"/>
  <c r="AT43" i="1"/>
  <c r="AP43" i="1"/>
  <c r="AK43" i="1"/>
  <c r="AG43" i="1"/>
  <c r="AT42" i="1"/>
  <c r="AP42" i="1"/>
  <c r="AK42" i="1"/>
  <c r="AG42" i="1"/>
  <c r="AT41" i="1"/>
  <c r="AP41" i="1"/>
  <c r="AK41" i="1"/>
  <c r="AG41" i="1"/>
  <c r="AT39" i="1"/>
  <c r="AP39" i="1"/>
  <c r="AK39" i="1"/>
  <c r="AG39" i="1"/>
  <c r="AT38" i="1"/>
  <c r="AP38" i="1"/>
  <c r="AK38" i="1"/>
  <c r="AG38" i="1"/>
  <c r="AT37" i="1"/>
  <c r="AP37" i="1"/>
  <c r="AK37" i="1"/>
  <c r="AG37" i="1"/>
  <c r="AT36" i="1"/>
  <c r="AP36" i="1"/>
  <c r="AK36" i="1"/>
  <c r="AG36" i="1"/>
  <c r="AM35" i="1"/>
  <c r="AD35" i="1"/>
  <c r="AT34" i="1"/>
  <c r="AP34" i="1"/>
  <c r="AK34" i="1"/>
  <c r="AG34" i="1"/>
  <c r="AT33" i="1"/>
  <c r="AP33" i="1"/>
  <c r="AK33" i="1"/>
  <c r="AG33" i="1"/>
  <c r="AT32" i="1"/>
  <c r="AP32" i="1"/>
  <c r="AK32" i="1"/>
  <c r="AG32" i="1"/>
  <c r="AT31" i="1"/>
  <c r="AP31" i="1"/>
  <c r="AK31" i="1"/>
  <c r="AG31" i="1"/>
  <c r="AT30" i="1"/>
  <c r="AP30" i="1"/>
  <c r="AK30" i="1"/>
  <c r="AG30" i="1"/>
  <c r="AM29" i="1"/>
  <c r="AD29" i="1"/>
  <c r="AT28" i="1"/>
  <c r="AP28" i="1"/>
  <c r="AK28" i="1"/>
  <c r="AG28" i="1"/>
  <c r="AT27" i="1"/>
  <c r="AP27" i="1"/>
  <c r="AK27" i="1"/>
  <c r="AG27" i="1"/>
  <c r="AT26" i="1"/>
  <c r="AP26" i="1"/>
  <c r="AK26" i="1"/>
  <c r="AG26" i="1"/>
  <c r="AT25" i="1"/>
  <c r="AP25" i="1"/>
  <c r="AK25" i="1"/>
  <c r="AG25" i="1"/>
  <c r="AT24" i="1"/>
  <c r="AP24" i="1"/>
  <c r="AK24" i="1"/>
  <c r="AG24" i="1"/>
  <c r="AT23" i="1"/>
  <c r="AP23" i="1"/>
  <c r="AK23" i="1"/>
  <c r="AG23" i="1"/>
  <c r="AT22" i="1"/>
  <c r="AP22" i="1"/>
  <c r="AK22" i="1"/>
  <c r="AG22" i="1"/>
  <c r="AT21" i="1"/>
  <c r="AP21" i="1"/>
  <c r="AK21" i="1"/>
  <c r="AG21" i="1"/>
  <c r="AT19" i="1"/>
  <c r="AP19" i="1"/>
  <c r="AK19" i="1"/>
  <c r="AG19" i="1"/>
  <c r="AT18" i="1"/>
  <c r="AP18" i="1"/>
  <c r="AK18" i="1"/>
  <c r="AG18" i="1"/>
  <c r="AT17" i="1"/>
  <c r="AP17" i="1"/>
  <c r="AK17" i="1"/>
  <c r="AG17" i="1"/>
  <c r="AT15" i="1"/>
  <c r="AP15" i="1"/>
  <c r="AK15" i="1"/>
  <c r="AG15" i="1"/>
  <c r="AT14" i="1"/>
  <c r="AK14" i="1"/>
  <c r="AG14" i="1"/>
  <c r="AT13" i="1"/>
  <c r="AP13" i="1"/>
  <c r="AK13" i="1"/>
  <c r="AG13" i="1"/>
  <c r="AT12" i="1"/>
  <c r="AP12" i="1"/>
  <c r="AK12" i="1"/>
  <c r="AG12" i="1"/>
  <c r="AT11" i="1"/>
  <c r="AP11" i="1"/>
  <c r="AK11" i="1"/>
  <c r="AG11" i="1"/>
  <c r="AM10" i="1"/>
  <c r="AD10" i="1"/>
  <c r="AT9" i="1"/>
  <c r="AP9" i="1"/>
  <c r="AK9" i="1"/>
  <c r="AG9" i="1"/>
  <c r="AT8" i="1"/>
  <c r="AP8" i="1"/>
  <c r="AK8" i="1"/>
  <c r="AG8" i="1"/>
  <c r="AK125" i="1" l="1"/>
  <c r="AT125" i="1"/>
  <c r="AM123" i="1"/>
  <c r="AP123" i="1" s="1"/>
  <c r="AU123" i="1" s="1"/>
  <c r="AT84" i="1"/>
  <c r="AI11" i="4"/>
  <c r="AN11" i="4" s="1"/>
  <c r="AI16" i="4"/>
  <c r="AN16" i="4" s="1"/>
  <c r="AB9" i="4"/>
  <c r="Z9" i="4"/>
  <c r="AB11" i="4"/>
  <c r="AG11" i="4" s="1"/>
  <c r="AB10" i="4"/>
  <c r="Z10" i="4"/>
  <c r="AL96" i="1"/>
  <c r="AU126" i="1"/>
  <c r="AU125" i="1" s="1"/>
  <c r="AL97" i="1"/>
  <c r="AI10" i="4"/>
  <c r="AN10" i="4" s="1"/>
  <c r="AP10" i="1"/>
  <c r="AT44" i="1"/>
  <c r="AK48" i="1"/>
  <c r="AK57" i="1"/>
  <c r="AG117" i="1"/>
  <c r="AK117" i="1"/>
  <c r="AK44" i="1"/>
  <c r="AG87" i="1"/>
  <c r="AI8" i="4"/>
  <c r="AN8" i="4" s="1"/>
  <c r="AB16" i="4"/>
  <c r="AK84" i="1"/>
  <c r="AT107" i="1"/>
  <c r="AT117" i="1"/>
  <c r="AU117" i="1" s="1"/>
  <c r="AT103" i="1"/>
  <c r="AT62" i="1"/>
  <c r="AP62" i="1"/>
  <c r="AT52" i="1"/>
  <c r="AT48" i="1"/>
  <c r="AP48" i="1"/>
  <c r="AP44" i="1"/>
  <c r="AP35" i="1"/>
  <c r="AL95" i="1"/>
  <c r="AU71" i="1"/>
  <c r="AG112" i="1"/>
  <c r="AL112" i="1" s="1"/>
  <c r="AP84" i="1"/>
  <c r="AL23" i="1"/>
  <c r="AL24" i="1"/>
  <c r="AL26" i="1"/>
  <c r="AL27" i="1"/>
  <c r="AL28" i="1"/>
  <c r="AK103" i="1"/>
  <c r="AG103" i="1"/>
  <c r="AK87" i="1"/>
  <c r="AG84" i="1"/>
  <c r="AK67" i="1"/>
  <c r="AL67" i="1" s="1"/>
  <c r="AG62" i="1"/>
  <c r="AK52" i="1"/>
  <c r="AG52" i="1"/>
  <c r="AG48" i="1"/>
  <c r="AG44" i="1"/>
  <c r="AK35" i="1"/>
  <c r="AG35" i="1"/>
  <c r="AK10" i="1"/>
  <c r="AG10" i="1"/>
  <c r="AL32" i="1"/>
  <c r="AL34" i="1"/>
  <c r="AU12" i="1"/>
  <c r="AU15" i="1"/>
  <c r="AU18" i="1"/>
  <c r="AU70" i="1"/>
  <c r="AU38" i="1"/>
  <c r="AU46" i="1"/>
  <c r="AU47" i="1"/>
  <c r="AU115" i="1"/>
  <c r="AL42" i="1"/>
  <c r="AL119" i="1"/>
  <c r="AL120" i="1"/>
  <c r="AU31" i="1"/>
  <c r="AU53" i="1"/>
  <c r="AP52" i="1"/>
  <c r="AP57" i="1"/>
  <c r="AL50" i="1"/>
  <c r="AL54" i="1"/>
  <c r="AT57" i="1"/>
  <c r="AK62" i="1"/>
  <c r="AP67" i="1"/>
  <c r="AT67" i="1"/>
  <c r="AK20" i="1"/>
  <c r="AU69" i="1"/>
  <c r="AL75" i="1"/>
  <c r="AG74" i="1"/>
  <c r="AU91" i="1"/>
  <c r="AU104" i="1"/>
  <c r="AP103" i="1"/>
  <c r="AK74" i="1"/>
  <c r="AL30" i="1"/>
  <c r="AG29" i="1"/>
  <c r="AT20" i="1"/>
  <c r="AK29" i="1"/>
  <c r="AP74" i="1"/>
  <c r="AT10" i="1"/>
  <c r="AP20" i="1"/>
  <c r="AL18" i="1"/>
  <c r="AP29" i="1"/>
  <c r="AT74" i="1"/>
  <c r="AT35" i="1"/>
  <c r="AT29" i="1"/>
  <c r="AL58" i="1"/>
  <c r="AG57" i="1"/>
  <c r="AG20" i="1"/>
  <c r="AG107" i="1"/>
  <c r="AU14" i="1"/>
  <c r="AU39" i="1"/>
  <c r="AU76" i="1"/>
  <c r="AK107" i="1"/>
  <c r="AL104" i="1"/>
  <c r="AU9" i="4"/>
  <c r="AL21" i="1"/>
  <c r="AL9" i="1"/>
  <c r="AL68" i="1"/>
  <c r="AU78" i="1"/>
  <c r="AL19" i="1"/>
  <c r="AU34" i="1"/>
  <c r="AL60" i="1"/>
  <c r="AL64" i="1"/>
  <c r="AL77" i="1"/>
  <c r="AL13" i="1"/>
  <c r="AL14" i="1"/>
  <c r="AU22" i="1"/>
  <c r="AU28" i="1"/>
  <c r="AL36" i="1"/>
  <c r="AL38" i="1"/>
  <c r="AU42" i="1"/>
  <c r="AL46" i="1"/>
  <c r="AU50" i="1"/>
  <c r="AL73" i="1"/>
  <c r="AL89" i="1"/>
  <c r="AL91" i="1"/>
  <c r="AU119" i="1"/>
  <c r="AL126" i="1"/>
  <c r="AL128" i="1"/>
  <c r="AL132" i="1"/>
  <c r="AU9" i="1"/>
  <c r="AU83" i="1"/>
  <c r="AL85" i="1"/>
  <c r="AL100" i="1"/>
  <c r="AL108" i="1"/>
  <c r="AL110" i="1"/>
  <c r="AL111" i="1"/>
  <c r="AU13" i="4"/>
  <c r="AU27" i="1"/>
  <c r="AU58" i="1"/>
  <c r="AU59" i="1"/>
  <c r="AL81" i="1"/>
  <c r="AU85" i="1"/>
  <c r="AU100" i="1"/>
  <c r="AU101" i="1"/>
  <c r="AU110" i="1"/>
  <c r="AU32" i="1"/>
  <c r="AL56" i="1"/>
  <c r="AU64" i="1"/>
  <c r="AL70" i="1"/>
  <c r="AU79" i="1"/>
  <c r="AU89" i="1"/>
  <c r="AU96" i="1"/>
  <c r="AU109" i="1"/>
  <c r="AL131" i="1"/>
  <c r="AL137" i="1"/>
  <c r="AU82" i="1"/>
  <c r="AL106" i="1"/>
  <c r="AU54" i="1"/>
  <c r="AU23" i="1"/>
  <c r="AL55" i="1"/>
  <c r="AL61" i="1"/>
  <c r="AL69" i="1"/>
  <c r="AL86" i="1"/>
  <c r="AU95" i="1"/>
  <c r="AL101" i="1"/>
  <c r="AU33" i="1"/>
  <c r="AU90" i="1"/>
  <c r="AU111" i="1"/>
  <c r="AU120" i="1"/>
  <c r="AL133" i="1"/>
  <c r="AU116" i="1"/>
  <c r="AL8" i="1"/>
  <c r="AL17" i="1"/>
  <c r="AU19" i="1"/>
  <c r="AU24" i="1"/>
  <c r="AU25" i="1"/>
  <c r="AL33" i="1"/>
  <c r="AU60" i="1"/>
  <c r="AU61" i="1"/>
  <c r="AU65" i="1"/>
  <c r="AU68" i="1"/>
  <c r="AU73" i="1"/>
  <c r="AL79" i="1"/>
  <c r="AL83" i="1"/>
  <c r="AU105" i="1"/>
  <c r="AU106" i="1"/>
  <c r="AL12" i="1"/>
  <c r="AU21" i="1"/>
  <c r="AL11" i="1"/>
  <c r="AU13" i="1"/>
  <c r="AL15" i="1"/>
  <c r="AU26" i="1"/>
  <c r="AU30" i="1"/>
  <c r="AU36" i="1"/>
  <c r="AL39" i="1"/>
  <c r="AL43" i="1"/>
  <c r="AL47" i="1"/>
  <c r="AL51" i="1"/>
  <c r="AU56" i="1"/>
  <c r="AL59" i="1"/>
  <c r="AL65" i="1"/>
  <c r="AU77" i="1"/>
  <c r="AU88" i="1"/>
  <c r="AL93" i="1"/>
  <c r="AU17" i="4"/>
  <c r="AU108" i="1"/>
  <c r="AL129" i="1"/>
  <c r="AL130" i="1"/>
  <c r="AL138" i="1"/>
  <c r="AL63" i="1"/>
  <c r="AU17" i="1"/>
  <c r="AL37" i="1"/>
  <c r="AL45" i="1"/>
  <c r="AU81" i="1"/>
  <c r="AL90" i="1"/>
  <c r="AU113" i="1"/>
  <c r="AL127" i="1"/>
  <c r="AU75" i="1"/>
  <c r="AL109" i="1"/>
  <c r="AL118" i="1"/>
  <c r="AU8" i="1"/>
  <c r="AU11" i="1"/>
  <c r="AD123" i="1"/>
  <c r="AD142" i="1" s="1"/>
  <c r="AL22" i="1"/>
  <c r="AL25" i="1"/>
  <c r="AL31" i="1"/>
  <c r="AU55" i="1"/>
  <c r="AL76" i="1"/>
  <c r="AU97" i="1"/>
  <c r="AL105" i="1"/>
  <c r="AL113" i="1"/>
  <c r="AU37" i="1"/>
  <c r="AL41" i="1"/>
  <c r="AU43" i="1"/>
  <c r="AL49" i="1"/>
  <c r="AU51" i="1"/>
  <c r="AL53" i="1"/>
  <c r="AU63" i="1"/>
  <c r="AL78" i="1"/>
  <c r="AL82" i="1"/>
  <c r="AU86" i="1"/>
  <c r="AL88" i="1"/>
  <c r="AU93" i="1"/>
  <c r="AU118" i="1"/>
  <c r="AU41" i="1"/>
  <c r="AU45" i="1"/>
  <c r="AU49" i="1"/>
  <c r="AL125" i="1" l="1"/>
  <c r="AM142" i="1"/>
  <c r="AP142" i="1" s="1"/>
  <c r="AU44" i="1"/>
  <c r="AT142" i="1"/>
  <c r="AU103" i="1"/>
  <c r="AU107" i="1"/>
  <c r="AU29" i="1"/>
  <c r="AU52" i="1"/>
  <c r="AU67" i="1"/>
  <c r="AU57" i="1"/>
  <c r="AU48" i="1"/>
  <c r="AU99" i="1"/>
  <c r="U19" i="4"/>
  <c r="Z19" i="4"/>
  <c r="AU20" i="1"/>
  <c r="AU7" i="1"/>
  <c r="AL7" i="1"/>
  <c r="AG142" i="1"/>
  <c r="AL87" i="1"/>
  <c r="AU35" i="1"/>
  <c r="AU10" i="1"/>
  <c r="AU16" i="1"/>
  <c r="AU62" i="1"/>
  <c r="AU40" i="1"/>
  <c r="AU80" i="1"/>
  <c r="AG8" i="4"/>
  <c r="AL117" i="1"/>
  <c r="AK123" i="1"/>
  <c r="AK142" i="1" s="1"/>
  <c r="AL48" i="1"/>
  <c r="AL44" i="1"/>
  <c r="AG123" i="1"/>
  <c r="AL62" i="1"/>
  <c r="AL107" i="1"/>
  <c r="AL74" i="1"/>
  <c r="AL10" i="1"/>
  <c r="AU14" i="4"/>
  <c r="AL84" i="1"/>
  <c r="AL35" i="1"/>
  <c r="AL20" i="1"/>
  <c r="AU74" i="1"/>
  <c r="AL57" i="1"/>
  <c r="AL29" i="1"/>
  <c r="AL52" i="1"/>
  <c r="AU84" i="1"/>
  <c r="AL103" i="1"/>
  <c r="AU10" i="4"/>
  <c r="AU16" i="4"/>
  <c r="AU15" i="4"/>
  <c r="AU142" i="1" l="1"/>
  <c r="AL142" i="1"/>
  <c r="AF19" i="4"/>
  <c r="AL123" i="1"/>
  <c r="AN19" i="4"/>
  <c r="AU19" i="4"/>
  <c r="AE19" i="4"/>
  <c r="AG9" i="4" l="1"/>
  <c r="AB19" i="4"/>
  <c r="AC19" i="4"/>
  <c r="AD19" i="4"/>
  <c r="AG10" i="4" l="1"/>
  <c r="L142" i="1" l="1"/>
  <c r="O142" i="1" s="1"/>
  <c r="AA16" i="4"/>
  <c r="U41" i="4"/>
  <c r="AG17" i="4"/>
  <c r="AG16" i="4"/>
  <c r="AG15" i="4"/>
  <c r="AG14" i="4"/>
  <c r="AG13" i="4"/>
  <c r="AG12" i="4"/>
  <c r="AP19" i="4"/>
  <c r="AK19" i="4"/>
  <c r="AL19" i="4" l="1"/>
  <c r="AM19" i="4"/>
  <c r="AS19" i="4"/>
  <c r="AT19" i="4"/>
  <c r="AJ19" i="4"/>
  <c r="AR19" i="4"/>
  <c r="AI19" i="4"/>
  <c r="AG19" i="4"/>
  <c r="AQ19" i="4"/>
  <c r="AA15" i="4" l="1"/>
  <c r="AA12" i="4"/>
  <c r="AA8" i="4"/>
  <c r="AA17" i="4"/>
  <c r="AA10" i="4"/>
  <c r="AA14" i="4"/>
  <c r="AA9" i="4"/>
  <c r="AA13" i="4"/>
  <c r="AA11" i="4"/>
  <c r="T8" i="4"/>
  <c r="M14" i="4"/>
  <c r="M11" i="4"/>
  <c r="M12" i="4"/>
  <c r="M9" i="4"/>
  <c r="M16" i="4"/>
  <c r="M17" i="4"/>
  <c r="M13" i="4"/>
  <c r="M15" i="4"/>
  <c r="M10" i="4"/>
  <c r="AO17" i="4"/>
  <c r="AV15" i="4"/>
  <c r="AO12" i="4"/>
  <c r="AO13" i="4"/>
  <c r="AO16" i="4"/>
  <c r="AO9" i="4"/>
  <c r="AO14" i="4"/>
  <c r="AV17" i="4"/>
  <c r="AV11" i="4"/>
  <c r="AO10" i="4"/>
  <c r="AV16" i="4"/>
  <c r="AV9" i="4"/>
  <c r="AV14" i="4"/>
  <c r="AO15" i="4"/>
  <c r="AV10" i="4"/>
  <c r="AO8" i="4"/>
  <c r="AV12" i="4"/>
  <c r="AO11" i="4"/>
  <c r="AV13" i="4"/>
  <c r="AV8" i="4"/>
  <c r="AH14" i="4"/>
  <c r="AH9" i="4"/>
  <c r="AH10" i="4"/>
  <c r="AH8" i="4"/>
  <c r="AH13" i="4"/>
  <c r="AH17" i="4"/>
  <c r="AH12" i="4"/>
  <c r="AH16" i="4"/>
  <c r="AH15" i="4"/>
  <c r="AH11" i="4"/>
  <c r="AT2" i="1" l="1"/>
  <c r="AO2" i="1"/>
  <c r="AM2" i="1" l="1"/>
  <c r="AQ2" i="1"/>
  <c r="M8" i="4"/>
  <c r="I19" i="4"/>
  <c r="L1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E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EZIN:</t>
        </r>
        <r>
          <rPr>
            <sz val="9"/>
            <color indexed="81"/>
            <rFont val="Tahoma"/>
            <family val="2"/>
          </rPr>
          <t xml:space="preserve">
Dont 4.448.293.000 FCFA pour CAA</t>
        </r>
      </text>
    </comment>
  </commentList>
</comments>
</file>

<file path=xl/sharedStrings.xml><?xml version="1.0" encoding="utf-8"?>
<sst xmlns="http://schemas.openxmlformats.org/spreadsheetml/2006/main" count="381" uniqueCount="278">
  <si>
    <t>DEPENSES ORDINAIRES</t>
  </si>
  <si>
    <t>DEPENSES EN CAPITAL</t>
  </si>
  <si>
    <t>Code Prog.</t>
  </si>
  <si>
    <t>Dépenses de personnel</t>
  </si>
  <si>
    <t>Dépenses d'acquisitions de biens et services</t>
  </si>
  <si>
    <t>Dépenses de transfert</t>
  </si>
  <si>
    <t>Total dépenses ordinaires (a)</t>
  </si>
  <si>
    <t>Ressources Intérieures</t>
  </si>
  <si>
    <t>Ressources extérieures (dons)</t>
  </si>
  <si>
    <t>Ressources extérieures (prêts)</t>
  </si>
  <si>
    <t>Total dépenses en capital (b)</t>
  </si>
  <si>
    <t>014</t>
  </si>
  <si>
    <t>015</t>
  </si>
  <si>
    <t>016</t>
  </si>
  <si>
    <t>MINISTERE DE LA JUSTICE ET DE LA LEGISLATION</t>
  </si>
  <si>
    <t>Pilotage et soutien aux services du MJL</t>
  </si>
  <si>
    <t>018</t>
  </si>
  <si>
    <t>Cadre législatif normatif et institutionnel</t>
  </si>
  <si>
    <t>019</t>
  </si>
  <si>
    <t>Services judiciaires</t>
  </si>
  <si>
    <t>020</t>
  </si>
  <si>
    <t>Système pénitentiaire</t>
  </si>
  <si>
    <t>021</t>
  </si>
  <si>
    <t>022</t>
  </si>
  <si>
    <t>023</t>
  </si>
  <si>
    <t>MINISTERE DE L'ECONOMIE ET DES FINANCES</t>
  </si>
  <si>
    <t>026</t>
  </si>
  <si>
    <t>Pilotage et soutien aux services du MEF</t>
  </si>
  <si>
    <t>027</t>
  </si>
  <si>
    <t>028</t>
  </si>
  <si>
    <t>Mobilisation des ressources financières et gestion de la trésorerie de l'Etat</t>
  </si>
  <si>
    <t>029</t>
  </si>
  <si>
    <t xml:space="preserve">Gestion des dépenses publiques </t>
  </si>
  <si>
    <t>030</t>
  </si>
  <si>
    <t xml:space="preserve">Gestion des biens de l'Etat et du foncier </t>
  </si>
  <si>
    <t>MINISTERE DE L'INTERIEUR ET DE LA SECURITE PUBLIQUE</t>
  </si>
  <si>
    <t>Pilotage et soutien aux services du MISP</t>
  </si>
  <si>
    <t>032</t>
  </si>
  <si>
    <t xml:space="preserve">Sécurité publique </t>
  </si>
  <si>
    <t>033</t>
  </si>
  <si>
    <t>034</t>
  </si>
  <si>
    <t xml:space="preserve">Gestion intégrée des espaces frontaliers </t>
  </si>
  <si>
    <t>035</t>
  </si>
  <si>
    <t xml:space="preserve">Gestion des affaires interieures </t>
  </si>
  <si>
    <t>MINISTERE DE L'AGRICULTURE, DE L'ELEVAGE ET DE LA PECHE</t>
  </si>
  <si>
    <t>036</t>
  </si>
  <si>
    <t xml:space="preserve">Pilotage et soutiens aux services  du MAEP </t>
  </si>
  <si>
    <t>037</t>
  </si>
  <si>
    <t>Agriculture</t>
  </si>
  <si>
    <t>038</t>
  </si>
  <si>
    <t xml:space="preserve">Elevage </t>
  </si>
  <si>
    <t>039</t>
  </si>
  <si>
    <t xml:space="preserve">Pêche et aquaculture </t>
  </si>
  <si>
    <t>MINISTERE DE LA DECENTRALISATION ET DE LA GOUVERNANCE LOCALE</t>
  </si>
  <si>
    <t>040</t>
  </si>
  <si>
    <t>Pilotage et soutien aux services du MDGL</t>
  </si>
  <si>
    <t>041</t>
  </si>
  <si>
    <t>042</t>
  </si>
  <si>
    <t>043</t>
  </si>
  <si>
    <t xml:space="preserve">Appui à la déconcentration </t>
  </si>
  <si>
    <t>MINISTERE DU TRAVAIL ET DE LA FONCTION PUBLIQUE</t>
  </si>
  <si>
    <t>044</t>
  </si>
  <si>
    <t>Pilotage et soutien aux services du MTFP</t>
  </si>
  <si>
    <t>045</t>
  </si>
  <si>
    <t>Travail et Sécurité Sociale</t>
  </si>
  <si>
    <t>048</t>
  </si>
  <si>
    <t>Modernisation de l'administration publique</t>
  </si>
  <si>
    <t>MINISTERE DE LA SANTE</t>
  </si>
  <si>
    <t>049</t>
  </si>
  <si>
    <t>Prévention et Sécurité sanitaire</t>
  </si>
  <si>
    <t>050</t>
  </si>
  <si>
    <t>Offre et accès aux soins de santé</t>
  </si>
  <si>
    <t>051</t>
  </si>
  <si>
    <t>Pilotage et Soutien aux services du MS</t>
  </si>
  <si>
    <t>MINISTERE DE L'ENSEIGNEMENT SUPERIEUR ET DE LA RECHERCHE SCIENTIFIQUE</t>
  </si>
  <si>
    <t>054</t>
  </si>
  <si>
    <t>Pilotage et soutien aux services du MESRS</t>
  </si>
  <si>
    <t>055</t>
  </si>
  <si>
    <t>Enseignement supérieur</t>
  </si>
  <si>
    <t>056</t>
  </si>
  <si>
    <t>Recherche scientifique et innovation technologique</t>
  </si>
  <si>
    <t>057</t>
  </si>
  <si>
    <t>Vie de l'étudiant</t>
  </si>
  <si>
    <t>MINISTERE DES ENSEIGNEMENTS SECONDAIRE, TECHNIQUE, ET DE LA FORMATION PROFESSIONNELLE</t>
  </si>
  <si>
    <t>058</t>
  </si>
  <si>
    <t>Pilotage et soutien aux services  du MESTFP</t>
  </si>
  <si>
    <t>059</t>
  </si>
  <si>
    <t xml:space="preserve">Enseignement secondaire général </t>
  </si>
  <si>
    <t>060</t>
  </si>
  <si>
    <t xml:space="preserve">Enseignement technique et formation professionnelle </t>
  </si>
  <si>
    <t>061</t>
  </si>
  <si>
    <t>MINISTERE DES ENSEIGNEMENTS MATERNEL ET PRIMAIRE</t>
  </si>
  <si>
    <t>062</t>
  </si>
  <si>
    <t>Pilotage et soutiens aux services du MEMP</t>
  </si>
  <si>
    <t>063</t>
  </si>
  <si>
    <t>Accès, équité et rétention</t>
  </si>
  <si>
    <t>064</t>
  </si>
  <si>
    <t>Qualité de l'enseignement</t>
  </si>
  <si>
    <t>066</t>
  </si>
  <si>
    <t>MINISTERE DES INFRASTRUCTURES ET DES TRANSPORTS</t>
  </si>
  <si>
    <t>068</t>
  </si>
  <si>
    <t>Pilotage et soutien aux services du MIT</t>
  </si>
  <si>
    <t>069</t>
  </si>
  <si>
    <t>Entretien et construction de routes et infrastructures de transport rural</t>
  </si>
  <si>
    <t>070</t>
  </si>
  <si>
    <t>Transport Terrestre et securité routière</t>
  </si>
  <si>
    <t>071</t>
  </si>
  <si>
    <t>Transport maritime</t>
  </si>
  <si>
    <t>072</t>
  </si>
  <si>
    <t>Transport aérien</t>
  </si>
  <si>
    <t>MINISTERE DE L'INDUSTRIE ET DU COMMERCE</t>
  </si>
  <si>
    <t>073</t>
  </si>
  <si>
    <t>074</t>
  </si>
  <si>
    <t>Industrie</t>
  </si>
  <si>
    <t>075</t>
  </si>
  <si>
    <t>Commerce</t>
  </si>
  <si>
    <t>077</t>
  </si>
  <si>
    <t>MINISTERE DE L'ENERGIE</t>
  </si>
  <si>
    <t>078</t>
  </si>
  <si>
    <t>Pilotage et soutiens aux services  du ME</t>
  </si>
  <si>
    <t>079</t>
  </si>
  <si>
    <t xml:space="preserve">Energie </t>
  </si>
  <si>
    <t>082</t>
  </si>
  <si>
    <t>083</t>
  </si>
  <si>
    <t>084</t>
  </si>
  <si>
    <t>Gestion durable des forêts et des ressources naturelles</t>
  </si>
  <si>
    <t>091</t>
  </si>
  <si>
    <t xml:space="preserve">Sport </t>
  </si>
  <si>
    <t>092</t>
  </si>
  <si>
    <t>088</t>
  </si>
  <si>
    <t>Tourisme</t>
  </si>
  <si>
    <t>089</t>
  </si>
  <si>
    <t>MINISTERE DE LA DEFENSE NATIONALE</t>
  </si>
  <si>
    <t>094</t>
  </si>
  <si>
    <t>Pilotage et soutien aux services du MDN</t>
  </si>
  <si>
    <t>095</t>
  </si>
  <si>
    <t>096</t>
  </si>
  <si>
    <t>Protection du territoire national et participation aux opérations militaires</t>
  </si>
  <si>
    <t>MINISTERE DES AFFAIRES SOCIALES ET DE LA MICROFINANCE</t>
  </si>
  <si>
    <t>098</t>
  </si>
  <si>
    <t>Pilotage et soutien aux services du MASM</t>
  </si>
  <si>
    <t>099</t>
  </si>
  <si>
    <t>PROMOTION SOCIO-ECONOMIQUE DES COUCHES VULNERABLES</t>
  </si>
  <si>
    <t>PROMOTION DE L'INDUSTRIE DE LA MICROFINANCE</t>
  </si>
  <si>
    <t>MINISTERE DES PETITES ET MOYENNES ENTREPRISES ET DE LA PROMOTION DE L'EMPLOI</t>
  </si>
  <si>
    <t>Pilotage et soutien aux services du MPMEPE</t>
  </si>
  <si>
    <t>Emploi</t>
  </si>
  <si>
    <t>Artisanat</t>
  </si>
  <si>
    <t>080</t>
  </si>
  <si>
    <t xml:space="preserve">Eau </t>
  </si>
  <si>
    <t>081</t>
  </si>
  <si>
    <t>Mines</t>
  </si>
  <si>
    <t>TOTAL PROGRAMMES BUDGETAIRES</t>
  </si>
  <si>
    <t>DOTATIONS BUDGETAIRES</t>
  </si>
  <si>
    <t>001</t>
  </si>
  <si>
    <t>Dotation pour l'Assemblée Nationale</t>
  </si>
  <si>
    <t>002</t>
  </si>
  <si>
    <t>Dotation pour la Cour Constitutionnelle</t>
  </si>
  <si>
    <t>003</t>
  </si>
  <si>
    <t>Dotation pour la Cour Suprême</t>
  </si>
  <si>
    <t>004</t>
  </si>
  <si>
    <t>Dotation pour le Conseil Economique et Social</t>
  </si>
  <si>
    <t>005</t>
  </si>
  <si>
    <t>Dotation pour la Haute Autorité de l’Audiovisuel et de la Communication</t>
  </si>
  <si>
    <t>006</t>
  </si>
  <si>
    <t>Dotation pour la Haute Cour de Justice</t>
  </si>
  <si>
    <t>007</t>
  </si>
  <si>
    <t>Dotation pour le Médiateur de la République</t>
  </si>
  <si>
    <t>008</t>
  </si>
  <si>
    <t xml:space="preserve">Dotation pour la Commission Electorale Nationale Autonome </t>
  </si>
  <si>
    <t>010</t>
  </si>
  <si>
    <t>Dotation pour la Présidence de la République</t>
  </si>
  <si>
    <t>011</t>
  </si>
  <si>
    <t>Dotation pour les dépenses d'intervention publique, accidentelles et imprévisibles</t>
  </si>
  <si>
    <t>012</t>
  </si>
  <si>
    <t>Dotations pour les crédits destinés à couvrir les défauts de remboursement ou les appels en garanties intervenues sur les comptes d'avances, de prêts, d'aval et de garanties</t>
  </si>
  <si>
    <t>Dotation pour les Charges financières de la dette</t>
  </si>
  <si>
    <t>TOTAL BUDGET DE L'ETAT</t>
  </si>
  <si>
    <t>Jeunesse et Loisirs</t>
  </si>
  <si>
    <t>Total des Prévisions</t>
  </si>
  <si>
    <t>013</t>
  </si>
  <si>
    <t>(en milliers de francs CFA)</t>
  </si>
  <si>
    <t>MINISTERE DU NUMERIQUE ET DE LA DIGITALISATION</t>
  </si>
  <si>
    <t>MINISTERE  DES SPORTS</t>
  </si>
  <si>
    <t>Pilotage et soutiens aux services du MTCA</t>
  </si>
  <si>
    <t>093</t>
  </si>
  <si>
    <t>Culture et Art</t>
  </si>
  <si>
    <t>Pilotage et soutien aux services du MND</t>
  </si>
  <si>
    <t>MINISTERE DU TOURISME, DE LA CULTURE ET DES ARTS</t>
  </si>
  <si>
    <t>Pilotage et soutien aux services du MIC</t>
  </si>
  <si>
    <t>Sécurité Numérique</t>
  </si>
  <si>
    <t>Digitalisation de l'Administration, des entreprises et de la société</t>
  </si>
  <si>
    <t>Infrastructure et Usages Numériques</t>
  </si>
  <si>
    <t>Pilotage et soutien aux services du Msports</t>
  </si>
  <si>
    <t xml:space="preserve"> </t>
  </si>
  <si>
    <t>Medias</t>
  </si>
  <si>
    <t>N°</t>
  </si>
  <si>
    <t>FONCTIONS</t>
  </si>
  <si>
    <t>TOTAL FONCTION</t>
  </si>
  <si>
    <t>Poids</t>
  </si>
  <si>
    <t>Observations</t>
  </si>
  <si>
    <t>DEPENSES DE PERSONNEL</t>
  </si>
  <si>
    <t>ACHATS DE BIENS ET SERVICES</t>
  </si>
  <si>
    <t>AUTRES TRANSFERTS COURANTS</t>
  </si>
  <si>
    <t>FINANCEMENT INTERIEUR</t>
  </si>
  <si>
    <t>FINANCEMENT EXTERIEUR</t>
  </si>
  <si>
    <t>DEPENSES D'ACQUISITION DE BIENS ET SERVICES</t>
  </si>
  <si>
    <t>01</t>
  </si>
  <si>
    <t>Services Généraux des Administrations publiques</t>
  </si>
  <si>
    <t>02</t>
  </si>
  <si>
    <t>Defense</t>
  </si>
  <si>
    <t>MDN, Compte OME</t>
  </si>
  <si>
    <t>03</t>
  </si>
  <si>
    <t>Ordre et Sécurité Publique</t>
  </si>
  <si>
    <t>04</t>
  </si>
  <si>
    <t>Affaires économiques</t>
  </si>
  <si>
    <t>05</t>
  </si>
  <si>
    <t xml:space="preserve">Protection de l'environnement </t>
  </si>
  <si>
    <t>06</t>
  </si>
  <si>
    <t>Logement et équipements collectifs</t>
  </si>
  <si>
    <t>07</t>
  </si>
  <si>
    <t>Santé</t>
  </si>
  <si>
    <t>MS</t>
  </si>
  <si>
    <t>08</t>
  </si>
  <si>
    <t>Loisirs, Culture et Culte</t>
  </si>
  <si>
    <t>M Sport, MTCA</t>
  </si>
  <si>
    <t>09</t>
  </si>
  <si>
    <t>Enseignement</t>
  </si>
  <si>
    <t>MESRS, MESTFP, MEMP, Partenariat mondial pour l'éducation</t>
  </si>
  <si>
    <t>10</t>
  </si>
  <si>
    <t xml:space="preserve">Protection sociale </t>
  </si>
  <si>
    <t>TOTAL FONCTIONS</t>
  </si>
  <si>
    <t>Orientation et évaluation des politiques de développement</t>
  </si>
  <si>
    <t>Protection civile</t>
  </si>
  <si>
    <t xml:space="preserve">Opérations Militaire à l'extérieur </t>
  </si>
  <si>
    <t>Assurance retraite des Agents de l'Etat</t>
  </si>
  <si>
    <t>Modernisation des regies financières</t>
  </si>
  <si>
    <t>Partenariat mondial pour l'Education</t>
  </si>
  <si>
    <t>MJL, MISP</t>
  </si>
  <si>
    <t>MASM, Assurance retraite des agents de l'Etat, Prévention et gestion des catastrophes</t>
  </si>
  <si>
    <t>103</t>
  </si>
  <si>
    <t>Fonds de développement des Arts et de la culture</t>
  </si>
  <si>
    <t>Pilotage et soutiens aux services du MAE</t>
  </si>
  <si>
    <t xml:space="preserve">MINISTERE DES AFFAIRES ETRANGERES </t>
  </si>
  <si>
    <t>Infrastructures et Transports</t>
  </si>
  <si>
    <t>MINISTERE DU CADRE DE VIE ET DES TRANSPORTS CHARGE DU DEVELOPPEMENT DURABLE</t>
  </si>
  <si>
    <t>Pilotage et soutien aux services du MCVT</t>
  </si>
  <si>
    <t>Fonds de développement du sport</t>
  </si>
  <si>
    <t>MINISTERE  DU DEVELOPPEMENT ET DE LA COORDINATION DE L'ACTION GOUVERNEMENTALE</t>
  </si>
  <si>
    <t>Pilotage et soutien aux services du MDC</t>
  </si>
  <si>
    <t>Pilotage et soutiens aux services du MEEM</t>
  </si>
  <si>
    <t>MCVT (données ville et territoire durable, habitat), MEEM</t>
  </si>
  <si>
    <t xml:space="preserve"> Droits Humains </t>
  </si>
  <si>
    <t>Diplomatie et relations extérieures</t>
  </si>
  <si>
    <t>Attractivité et rayonnement du Bénin à l'extérieur</t>
  </si>
  <si>
    <t>Gestion du cadre macroéconomique et du secteur financier</t>
  </si>
  <si>
    <t>Prévention et gestion des catastrophes</t>
  </si>
  <si>
    <t>Gouvernance et développement à la base</t>
  </si>
  <si>
    <t>047</t>
  </si>
  <si>
    <t>046</t>
  </si>
  <si>
    <t>Villes et territoires durables</t>
  </si>
  <si>
    <t>Construction et Habitat</t>
  </si>
  <si>
    <t>052</t>
  </si>
  <si>
    <t>053</t>
  </si>
  <si>
    <t>Appui aux PME</t>
  </si>
  <si>
    <t>MINISTERE DE L'ENERGIE, L'EAU ET DES MINES</t>
  </si>
  <si>
    <t>0113</t>
  </si>
  <si>
    <t xml:space="preserve">Dotation pour la Commission Béninoise des Droits de l'Homme </t>
  </si>
  <si>
    <t>Dotation pour l'Autorité de Protection des Données à Caractère Personnel</t>
  </si>
  <si>
    <t>Cour des Comptes</t>
  </si>
  <si>
    <t>Ministère /Programme/Dotation</t>
  </si>
  <si>
    <t>Alphabétisation et promotion des langues nationales</t>
  </si>
  <si>
    <t>Numérique</t>
  </si>
  <si>
    <t>Environnement , forêt et climat</t>
  </si>
  <si>
    <r>
      <t xml:space="preserve">MDC, MAEC, MDGL, MTFP, AN, CC, CS, CES, HAC, HCJ, MR, CENA, CBDH, APDP, PR, </t>
    </r>
    <r>
      <rPr>
        <sz val="9"/>
        <rFont val="Segoe UI"/>
        <family val="2"/>
      </rPr>
      <t>Dépenses d'intervention publique accidentelle et imprévisible, Cour des Comptes et Dotations pour les crédits destinés à couvrir les défauts de remboursement ou les appels en garanties intervenues sur les comptes d'avances, de prêts, d'aval et de garanties</t>
    </r>
  </si>
  <si>
    <t>MCVT (données pilotage et soutien, environnement et climat, forêt et chasse)</t>
  </si>
  <si>
    <t>MEF, MAEP, MIT, MCVT (Infrastructure et transport) MIC, MPMEPE, MEEM (Energie), MND et Charge financière de la dette</t>
  </si>
  <si>
    <t xml:space="preserve">Ressources extérieures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</si>
</sst>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\ _C_F_A_-;\-* #,##0\ _C_F_A_-;_-* &quot;-&quot;\ _C_F_A_-;_-@_-"/>
    <numFmt numFmtId="166" formatCode="#,##0.0"/>
    <numFmt numFmtId="167" formatCode="_-* #,##0.0\ _C_F_A_-;\-* #,##0.0\ _C_F_A_-;_-* &quot;-&quot;?\ _C_F_A_-;_-@_-"/>
    <numFmt numFmtId="168" formatCode="_-* #,##0\ _€_-;\-* #,##0\ _€_-;_-* &quot;-&quot;??\ _€_-;_-@_-"/>
    <numFmt numFmtId="169" formatCode="0.0%"/>
    <numFmt numFmtId="170" formatCode="_-* #,##0.0\ _€_-;\-* #,##0.0\ _€_-;_-* &quot;-&quot;??\ _€_-;_-@_-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sz val="11"/>
      <color rgb="FF00206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6100"/>
      <name val="Calibri"/>
      <family val="2"/>
      <scheme val="minor"/>
    </font>
    <font>
      <b/>
      <sz val="9"/>
      <color theme="1"/>
      <name val="Segoe UI"/>
      <family val="2"/>
    </font>
    <font>
      <sz val="9"/>
      <color rgb="FF000000"/>
      <name val="Segoe UI"/>
      <family val="2"/>
    </font>
    <font>
      <sz val="9"/>
      <name val="Segoe UI"/>
      <family val="2"/>
    </font>
    <font>
      <sz val="11"/>
      <name val="Calibri"/>
      <family val="2"/>
      <scheme val="minor"/>
    </font>
    <font>
      <sz val="10"/>
      <color rgb="FF000000"/>
      <name val="Segoe UI"/>
      <family val="2"/>
    </font>
    <font>
      <sz val="11"/>
      <color rgb="FF9C0006"/>
      <name val="Calibri"/>
      <family val="2"/>
      <charset val="1"/>
      <scheme val="minor"/>
    </font>
    <font>
      <sz val="9"/>
      <color theme="1"/>
      <name val="Segoe UI"/>
      <family val="2"/>
    </font>
    <font>
      <sz val="9"/>
      <color rgb="FFFF000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gray125">
        <bgColor theme="9" tint="0.79998168889431442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2" fillId="9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8" fillId="11" borderId="0" applyNumberFormat="0" applyBorder="0" applyAlignment="0" applyProtection="0"/>
  </cellStyleXfs>
  <cellXfs count="21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6" fontId="1" fillId="4" borderId="7" xfId="0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66" fontId="5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66" fontId="5" fillId="0" borderId="10" xfId="0" applyNumberFormat="1" applyFont="1" applyBorder="1" applyAlignment="1">
      <alignment vertical="center"/>
    </xf>
    <xf numFmtId="0" fontId="1" fillId="5" borderId="0" xfId="0" applyFont="1" applyFill="1" applyAlignment="1">
      <alignment vertical="center" wrapText="1"/>
    </xf>
    <xf numFmtId="166" fontId="1" fillId="6" borderId="4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6" fontId="1" fillId="4" borderId="4" xfId="0" applyNumberFormat="1" applyFont="1" applyFill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166" fontId="5" fillId="0" borderId="11" xfId="0" applyNumberFormat="1" applyFont="1" applyBorder="1" applyAlignment="1">
      <alignment vertical="center"/>
    </xf>
    <xf numFmtId="166" fontId="1" fillId="7" borderId="4" xfId="0" applyNumberFormat="1" applyFont="1" applyFill="1" applyBorder="1" applyAlignment="1">
      <alignment vertical="center"/>
    </xf>
    <xf numFmtId="3" fontId="0" fillId="0" borderId="0" xfId="0" applyNumberFormat="1"/>
    <xf numFmtId="0" fontId="0" fillId="0" borderId="13" xfId="0" applyBorder="1"/>
    <xf numFmtId="3" fontId="4" fillId="0" borderId="0" xfId="0" applyNumberFormat="1" applyFont="1"/>
    <xf numFmtId="166" fontId="0" fillId="0" borderId="0" xfId="0" applyNumberFormat="1"/>
    <xf numFmtId="166" fontId="5" fillId="8" borderId="8" xfId="0" applyNumberFormat="1" applyFont="1" applyFill="1" applyBorder="1" applyAlignment="1">
      <alignment vertical="center"/>
    </xf>
    <xf numFmtId="165" fontId="0" fillId="0" borderId="0" xfId="0" applyNumberFormat="1"/>
    <xf numFmtId="167" fontId="0" fillId="0" borderId="0" xfId="0" applyNumberFormat="1"/>
    <xf numFmtId="166" fontId="0" fillId="8" borderId="0" xfId="0" applyNumberFormat="1" applyFill="1"/>
    <xf numFmtId="0" fontId="2" fillId="2" borderId="1" xfId="0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166" fontId="9" fillId="0" borderId="8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6" fontId="4" fillId="4" borderId="7" xfId="0" applyNumberFormat="1" applyFont="1" applyFill="1" applyBorder="1" applyAlignment="1">
      <alignment vertical="center"/>
    </xf>
    <xf numFmtId="168" fontId="4" fillId="0" borderId="0" xfId="3" applyNumberFormat="1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/>
    </xf>
    <xf numFmtId="169" fontId="5" fillId="8" borderId="8" xfId="1" applyNumberFormat="1" applyFont="1" applyFill="1" applyBorder="1" applyAlignment="1">
      <alignment horizontal="center" vertical="center"/>
    </xf>
    <xf numFmtId="3" fontId="5" fillId="0" borderId="9" xfId="0" applyNumberFormat="1" applyFont="1" applyBorder="1" applyAlignment="1">
      <alignment vertical="center" wrapText="1"/>
    </xf>
    <xf numFmtId="169" fontId="5" fillId="0" borderId="8" xfId="1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vertical="center" wrapText="1"/>
    </xf>
    <xf numFmtId="3" fontId="16" fillId="0" borderId="9" xfId="2" applyNumberFormat="1" applyFont="1" applyFill="1" applyBorder="1" applyAlignment="1">
      <alignment vertical="center" wrapText="1"/>
    </xf>
    <xf numFmtId="166" fontId="17" fillId="8" borderId="8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vertical="center"/>
    </xf>
    <xf numFmtId="3" fontId="1" fillId="2" borderId="4" xfId="0" applyNumberFormat="1" applyFont="1" applyFill="1" applyBorder="1" applyAlignment="1">
      <alignment horizontal="center" vertical="center"/>
    </xf>
    <xf numFmtId="166" fontId="1" fillId="2" borderId="4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8" fontId="4" fillId="0" borderId="0" xfId="3" applyNumberFormat="1" applyFont="1" applyAlignment="1">
      <alignment vertical="center"/>
    </xf>
    <xf numFmtId="166" fontId="5" fillId="0" borderId="17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3" fontId="5" fillId="0" borderId="17" xfId="0" applyNumberFormat="1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70" fontId="1" fillId="4" borderId="7" xfId="4" applyNumberFormat="1" applyFont="1" applyFill="1" applyBorder="1" applyAlignment="1">
      <alignment horizontal="right" vertical="center"/>
    </xf>
    <xf numFmtId="3" fontId="4" fillId="8" borderId="0" xfId="0" applyNumberFormat="1" applyFont="1" applyFill="1" applyAlignment="1">
      <alignment vertical="center"/>
    </xf>
    <xf numFmtId="0" fontId="5" fillId="10" borderId="9" xfId="0" applyFont="1" applyFill="1" applyBorder="1" applyAlignment="1">
      <alignment vertical="center" wrapText="1"/>
    </xf>
    <xf numFmtId="3" fontId="6" fillId="0" borderId="15" xfId="0" applyNumberFormat="1" applyFont="1" applyBorder="1" applyAlignment="1">
      <alignment vertical="center"/>
    </xf>
    <xf numFmtId="166" fontId="5" fillId="0" borderId="1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3" fontId="0" fillId="0" borderId="4" xfId="0" applyNumberFormat="1" applyBorder="1"/>
    <xf numFmtId="166" fontId="1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0" fontId="1" fillId="12" borderId="0" xfId="0" applyFont="1" applyFill="1" applyAlignment="1">
      <alignment vertical="center" wrapText="1"/>
    </xf>
    <xf numFmtId="166" fontId="1" fillId="3" borderId="4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6" fontId="1" fillId="13" borderId="7" xfId="0" applyNumberFormat="1" applyFont="1" applyFill="1" applyBorder="1" applyAlignment="1">
      <alignment vertical="center"/>
    </xf>
    <xf numFmtId="166" fontId="1" fillId="13" borderId="6" xfId="0" applyNumberFormat="1" applyFont="1" applyFill="1" applyBorder="1" applyAlignment="1">
      <alignment vertical="center"/>
    </xf>
    <xf numFmtId="166" fontId="1" fillId="13" borderId="25" xfId="0" applyNumberFormat="1" applyFont="1" applyFill="1" applyBorder="1" applyAlignment="1">
      <alignment vertical="center"/>
    </xf>
    <xf numFmtId="166" fontId="1" fillId="13" borderId="4" xfId="0" applyNumberFormat="1" applyFont="1" applyFill="1" applyBorder="1" applyAlignment="1">
      <alignment vertical="center"/>
    </xf>
    <xf numFmtId="166" fontId="1" fillId="13" borderId="11" xfId="0" applyNumberFormat="1" applyFont="1" applyFill="1" applyBorder="1" applyAlignment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right" vertical="center"/>
    </xf>
    <xf numFmtId="166" fontId="4" fillId="13" borderId="7" xfId="0" applyNumberFormat="1" applyFont="1" applyFill="1" applyBorder="1" applyAlignment="1">
      <alignment vertical="center"/>
    </xf>
    <xf numFmtId="166" fontId="4" fillId="3" borderId="7" xfId="0" applyNumberFormat="1" applyFont="1" applyFill="1" applyBorder="1" applyAlignment="1">
      <alignment vertical="center"/>
    </xf>
    <xf numFmtId="3" fontId="5" fillId="8" borderId="7" xfId="0" applyNumberFormat="1" applyFont="1" applyFill="1" applyBorder="1" applyAlignment="1">
      <alignment vertical="center"/>
    </xf>
    <xf numFmtId="3" fontId="6" fillId="8" borderId="8" xfId="0" applyNumberFormat="1" applyFont="1" applyFill="1" applyBorder="1" applyAlignment="1">
      <alignment vertical="center"/>
    </xf>
    <xf numFmtId="3" fontId="6" fillId="8" borderId="10" xfId="0" applyNumberFormat="1" applyFont="1" applyFill="1" applyBorder="1" applyAlignment="1">
      <alignment vertical="center"/>
    </xf>
    <xf numFmtId="3" fontId="5" fillId="8" borderId="8" xfId="0" applyNumberFormat="1" applyFont="1" applyFill="1" applyBorder="1" applyAlignment="1">
      <alignment vertical="center"/>
    </xf>
    <xf numFmtId="3" fontId="5" fillId="8" borderId="10" xfId="0" applyNumberFormat="1" applyFont="1" applyFill="1" applyBorder="1" applyAlignment="1">
      <alignment vertical="center"/>
    </xf>
    <xf numFmtId="3" fontId="5" fillId="8" borderId="4" xfId="0" applyNumberFormat="1" applyFont="1" applyFill="1" applyBorder="1" applyAlignment="1">
      <alignment vertical="center"/>
    </xf>
    <xf numFmtId="3" fontId="5" fillId="8" borderId="11" xfId="0" applyNumberFormat="1" applyFont="1" applyFill="1" applyBorder="1" applyAlignment="1">
      <alignment vertical="center"/>
    </xf>
    <xf numFmtId="1" fontId="4" fillId="0" borderId="8" xfId="0" quotePrefix="1" applyNumberFormat="1" applyFont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vertical="center"/>
    </xf>
    <xf numFmtId="164" fontId="5" fillId="0" borderId="7" xfId="4" applyFont="1" applyBorder="1" applyAlignment="1">
      <alignment vertical="center"/>
    </xf>
    <xf numFmtId="164" fontId="5" fillId="0" borderId="8" xfId="4" applyFont="1" applyBorder="1" applyAlignment="1">
      <alignment vertical="center"/>
    </xf>
    <xf numFmtId="170" fontId="5" fillId="0" borderId="8" xfId="4" applyNumberFormat="1" applyFont="1" applyBorder="1" applyAlignment="1">
      <alignment vertical="center"/>
    </xf>
    <xf numFmtId="168" fontId="5" fillId="0" borderId="7" xfId="4" applyNumberFormat="1" applyFont="1" applyBorder="1" applyAlignment="1">
      <alignment vertical="center"/>
    </xf>
    <xf numFmtId="168" fontId="5" fillId="0" borderId="8" xfId="4" applyNumberFormat="1" applyFont="1" applyBorder="1" applyAlignment="1">
      <alignment vertical="center"/>
    </xf>
    <xf numFmtId="168" fontId="5" fillId="0" borderId="4" xfId="4" applyNumberFormat="1" applyFont="1" applyBorder="1" applyAlignment="1">
      <alignment vertical="center"/>
    </xf>
    <xf numFmtId="164" fontId="5" fillId="3" borderId="8" xfId="4" applyFont="1" applyFill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170" fontId="5" fillId="0" borderId="11" xfId="4" applyNumberFormat="1" applyFont="1" applyBorder="1" applyAlignment="1">
      <alignment vertical="center"/>
    </xf>
    <xf numFmtId="168" fontId="5" fillId="0" borderId="11" xfId="4" applyNumberFormat="1" applyFont="1" applyBorder="1" applyAlignment="1">
      <alignment vertical="center"/>
    </xf>
    <xf numFmtId="164" fontId="6" fillId="0" borderId="8" xfId="4" applyFont="1" applyBorder="1" applyAlignment="1">
      <alignment vertical="center"/>
    </xf>
    <xf numFmtId="170" fontId="6" fillId="0" borderId="8" xfId="4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18" xfId="0" applyNumberFormat="1" applyFont="1" applyBorder="1" applyAlignment="1">
      <alignment vertical="center"/>
    </xf>
    <xf numFmtId="168" fontId="6" fillId="0" borderId="7" xfId="4" applyNumberFormat="1" applyFont="1" applyBorder="1" applyAlignment="1">
      <alignment horizontal="right" vertical="center"/>
    </xf>
    <xf numFmtId="168" fontId="6" fillId="0" borderId="8" xfId="4" applyNumberFormat="1" applyFont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6" fontId="4" fillId="3" borderId="17" xfId="0" applyNumberFormat="1" applyFont="1" applyFill="1" applyBorder="1" applyAlignment="1">
      <alignment vertical="center"/>
    </xf>
    <xf numFmtId="166" fontId="14" fillId="8" borderId="8" xfId="0" applyNumberFormat="1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1" fillId="4" borderId="11" xfId="0" applyNumberFormat="1" applyFont="1" applyFill="1" applyBorder="1" applyAlignment="1">
      <alignment vertical="center"/>
    </xf>
    <xf numFmtId="0" fontId="5" fillId="0" borderId="30" xfId="0" applyFont="1" applyBorder="1" applyAlignment="1">
      <alignment vertical="center" wrapText="1"/>
    </xf>
    <xf numFmtId="166" fontId="5" fillId="3" borderId="10" xfId="0" applyNumberFormat="1" applyFont="1" applyFill="1" applyBorder="1" applyAlignment="1">
      <alignment vertical="center"/>
    </xf>
    <xf numFmtId="166" fontId="5" fillId="0" borderId="28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3" fontId="6" fillId="0" borderId="14" xfId="0" applyNumberFormat="1" applyFont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3" fontId="19" fillId="0" borderId="31" xfId="0" applyNumberFormat="1" applyFont="1" applyBorder="1" applyAlignment="1">
      <alignment horizontal="right" vertical="center"/>
    </xf>
    <xf numFmtId="3" fontId="1" fillId="4" borderId="7" xfId="0" applyNumberFormat="1" applyFont="1" applyFill="1" applyBorder="1" applyAlignment="1">
      <alignment vertical="center"/>
    </xf>
    <xf numFmtId="3" fontId="1" fillId="8" borderId="7" xfId="0" applyNumberFormat="1" applyFont="1" applyFill="1" applyBorder="1" applyAlignment="1">
      <alignment vertical="center"/>
    </xf>
    <xf numFmtId="3" fontId="1" fillId="3" borderId="7" xfId="0" applyNumberFormat="1" applyFont="1" applyFill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vertical="center"/>
    </xf>
    <xf numFmtId="3" fontId="1" fillId="13" borderId="7" xfId="0" applyNumberFormat="1" applyFont="1" applyFill="1" applyBorder="1" applyAlignment="1">
      <alignment vertical="center"/>
    </xf>
    <xf numFmtId="3" fontId="5" fillId="3" borderId="12" xfId="0" applyNumberFormat="1" applyFont="1" applyFill="1" applyBorder="1" applyAlignment="1">
      <alignment vertical="center"/>
    </xf>
    <xf numFmtId="3" fontId="1" fillId="13" borderId="6" xfId="0" applyNumberFormat="1" applyFont="1" applyFill="1" applyBorder="1" applyAlignment="1">
      <alignment vertical="center"/>
    </xf>
    <xf numFmtId="3" fontId="4" fillId="13" borderId="7" xfId="0" applyNumberFormat="1" applyFont="1" applyFill="1" applyBorder="1" applyAlignment="1">
      <alignment vertical="center"/>
    </xf>
    <xf numFmtId="3" fontId="1" fillId="7" borderId="4" xfId="0" applyNumberFormat="1" applyFont="1" applyFill="1" applyBorder="1" applyAlignment="1">
      <alignment vertical="center"/>
    </xf>
    <xf numFmtId="3" fontId="1" fillId="4" borderId="4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9" fillId="0" borderId="8" xfId="0" applyNumberFormat="1" applyFont="1" applyBorder="1" applyAlignment="1">
      <alignment vertical="center"/>
    </xf>
    <xf numFmtId="3" fontId="5" fillId="8" borderId="17" xfId="0" applyNumberFormat="1" applyFont="1" applyFill="1" applyBorder="1" applyAlignment="1">
      <alignment vertical="center"/>
    </xf>
    <xf numFmtId="3" fontId="1" fillId="5" borderId="0" xfId="0" applyNumberFormat="1" applyFont="1" applyFill="1" applyAlignment="1">
      <alignment vertical="center" wrapText="1"/>
    </xf>
    <xf numFmtId="3" fontId="5" fillId="3" borderId="11" xfId="0" applyNumberFormat="1" applyFont="1" applyFill="1" applyBorder="1" applyAlignment="1">
      <alignment vertical="center"/>
    </xf>
    <xf numFmtId="3" fontId="9" fillId="3" borderId="8" xfId="0" applyNumberFormat="1" applyFont="1" applyFill="1" applyBorder="1" applyAlignment="1">
      <alignment vertical="center"/>
    </xf>
    <xf numFmtId="3" fontId="1" fillId="3" borderId="14" xfId="0" applyNumberFormat="1" applyFont="1" applyFill="1" applyBorder="1" applyAlignment="1">
      <alignment vertical="center"/>
    </xf>
    <xf numFmtId="3" fontId="1" fillId="13" borderId="4" xfId="0" applyNumberFormat="1" applyFont="1" applyFill="1" applyBorder="1" applyAlignment="1">
      <alignment vertical="center"/>
    </xf>
    <xf numFmtId="3" fontId="1" fillId="12" borderId="0" xfId="0" applyNumberFormat="1" applyFont="1" applyFill="1" applyAlignment="1">
      <alignment vertical="center" wrapText="1"/>
    </xf>
    <xf numFmtId="3" fontId="1" fillId="13" borderId="11" xfId="0" applyNumberFormat="1" applyFont="1" applyFill="1" applyBorder="1" applyAlignment="1">
      <alignment vertical="center"/>
    </xf>
    <xf numFmtId="3" fontId="1" fillId="3" borderId="4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3" fontId="1" fillId="4" borderId="1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vertical="center" wrapText="1"/>
    </xf>
    <xf numFmtId="3" fontId="3" fillId="8" borderId="1" xfId="0" applyNumberFormat="1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vertical="center" wrapText="1"/>
    </xf>
    <xf numFmtId="3" fontId="2" fillId="8" borderId="1" xfId="0" applyNumberFormat="1" applyFont="1" applyFill="1" applyBorder="1" applyAlignment="1">
      <alignment vertical="center" wrapText="1"/>
    </xf>
    <xf numFmtId="3" fontId="2" fillId="8" borderId="3" xfId="0" applyNumberFormat="1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quotePrefix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0" fontId="1" fillId="8" borderId="6" xfId="0" quotePrefix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" fillId="6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quotePrefix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quotePrefix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3" fontId="19" fillId="0" borderId="31" xfId="0" applyNumberFormat="1" applyFont="1" applyBorder="1" applyAlignment="1">
      <alignment horizontal="center" vertical="center"/>
    </xf>
    <xf numFmtId="3" fontId="20" fillId="0" borderId="31" xfId="0" applyNumberFormat="1" applyFont="1" applyBorder="1" applyAlignment="1">
      <alignment horizontal="right" vertical="center"/>
    </xf>
    <xf numFmtId="3" fontId="15" fillId="0" borderId="31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1" fillId="3" borderId="11" xfId="0" applyNumberFormat="1" applyFont="1" applyFill="1" applyBorder="1" applyAlignment="1">
      <alignment vertical="center"/>
    </xf>
    <xf numFmtId="3" fontId="5" fillId="0" borderId="28" xfId="0" applyNumberFormat="1" applyFont="1" applyBorder="1" applyAlignment="1">
      <alignment vertical="center"/>
    </xf>
  </cellXfs>
  <cellStyles count="6">
    <cellStyle name="Insatisfaisant 2" xfId="5" xr:uid="{00000000-0005-0000-0000-000000000000}"/>
    <cellStyle name="Milliers" xfId="4" builtinId="3"/>
    <cellStyle name="Milliers 2" xfId="3" xr:uid="{00000000-0005-0000-0000-000002000000}"/>
    <cellStyle name="Normal" xfId="0" builtinId="0"/>
    <cellStyle name="Pourcentage" xfId="1" builtinId="5"/>
    <cellStyle name="Satisfaisant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esktop\CL\Annexe-RAPEX-31-12-22.xlsx" TargetMode="External"/><Relationship Id="rId1" Type="http://schemas.openxmlformats.org/officeDocument/2006/relationships/externalLinkPath" Target="Annexe-RAPEX-31-12-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f%20Boris/Documents/Elaboration%20budget/Budget%202025/Budg&#233;tisation/CDMT%202025-2027/CDMT%20Initial%20global%202025-2027%20version%20TOFE%20Revue%20FMI%20Ajust%20FNR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esktop\CL\Annexe-RAPEX-31-12-23%20Retour%2017%2002%202024%20(1).xlsx" TargetMode="External"/><Relationship Id="rId1" Type="http://schemas.openxmlformats.org/officeDocument/2006/relationships/externalLinkPath" Target="Annexe-RAPEX-31-12-23%20Retour%2017%2002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ssification admin-economique"/>
      <sheetName val="Classification fonct-économique"/>
      <sheetName val="Graphes"/>
      <sheetName val="Graphes fin dec."/>
      <sheetName val="Classification prog-économique"/>
      <sheetName val="Classification prog-économi (2"/>
    </sheetNames>
    <sheetDataSet>
      <sheetData sheetId="0"/>
      <sheetData sheetId="1">
        <row r="4">
          <cell r="Z4">
            <v>86302825.573000014</v>
          </cell>
          <cell r="AA4">
            <v>72680266.527999997</v>
          </cell>
          <cell r="AB4">
            <v>30126668.236899998</v>
          </cell>
          <cell r="AC4">
            <v>25994533.111999996</v>
          </cell>
          <cell r="AD4">
            <v>14541245.19977906</v>
          </cell>
        </row>
        <row r="5">
          <cell r="Z5">
            <v>24565703.897999998</v>
          </cell>
          <cell r="AA5">
            <v>14624640.705</v>
          </cell>
          <cell r="AB5">
            <v>3064110.1197000002</v>
          </cell>
          <cell r="AD5">
            <v>130806966.59835728</v>
          </cell>
        </row>
        <row r="6">
          <cell r="Z6">
            <v>211609624.028</v>
          </cell>
          <cell r="AA6">
            <v>29612076.316999998</v>
          </cell>
          <cell r="AB6">
            <v>4546437.8715000004</v>
          </cell>
          <cell r="AC6">
            <v>33355858.982000005</v>
          </cell>
          <cell r="AD6">
            <v>14596587.14037003</v>
          </cell>
        </row>
        <row r="7">
          <cell r="Z7">
            <v>4367812.5609999998</v>
          </cell>
          <cell r="AA7">
            <v>947318.88500000001</v>
          </cell>
          <cell r="AB7">
            <v>175716.36040000001</v>
          </cell>
          <cell r="AC7">
            <v>130691559.35699999</v>
          </cell>
          <cell r="AD7">
            <v>100933555.07727101</v>
          </cell>
        </row>
        <row r="8">
          <cell r="Z8">
            <v>32255330.191</v>
          </cell>
          <cell r="AA8">
            <v>8390781.1870000008</v>
          </cell>
          <cell r="AB8">
            <v>2304662.5403999998</v>
          </cell>
          <cell r="AC8">
            <v>9607510.9409999996</v>
          </cell>
        </row>
        <row r="9">
          <cell r="AB9">
            <v>10250950.101599999</v>
          </cell>
          <cell r="AD9">
            <v>0</v>
          </cell>
        </row>
        <row r="10">
          <cell r="Z10">
            <v>43725969.566</v>
          </cell>
          <cell r="AA10">
            <v>11336852.166000001</v>
          </cell>
          <cell r="AB10">
            <v>1153385.7566999998</v>
          </cell>
          <cell r="AC10">
            <v>7145248.1960000005</v>
          </cell>
          <cell r="AD10">
            <v>0</v>
          </cell>
        </row>
        <row r="11">
          <cell r="Z11">
            <v>1992711.8629999999</v>
          </cell>
          <cell r="AA11">
            <v>2800247.1340000001</v>
          </cell>
          <cell r="AB11">
            <v>937588.40529999998</v>
          </cell>
          <cell r="AC11">
            <v>51169250.085000001</v>
          </cell>
          <cell r="AD11">
            <v>16987964.495487101</v>
          </cell>
        </row>
        <row r="12">
          <cell r="Z12">
            <v>37503895.831</v>
          </cell>
          <cell r="AA12">
            <v>9804652.3909999989</v>
          </cell>
          <cell r="AB12">
            <v>48699.124100000001</v>
          </cell>
          <cell r="AC12">
            <v>54775908.106000006</v>
          </cell>
          <cell r="AD12">
            <v>0</v>
          </cell>
        </row>
        <row r="13">
          <cell r="Z13">
            <v>64578.057999999997</v>
          </cell>
          <cell r="AA13">
            <v>1406823.6189999999</v>
          </cell>
          <cell r="AB13">
            <v>5356.7141999999994</v>
          </cell>
          <cell r="AC13">
            <v>45246274.530000001</v>
          </cell>
        </row>
      </sheetData>
      <sheetData sheetId="2"/>
      <sheetData sheetId="3"/>
      <sheetData sheetId="4"/>
      <sheetData sheetId="5">
        <row r="47">
          <cell r="D47">
            <v>3678360.5579999997</v>
          </cell>
          <cell r="P47">
            <v>159674.5</v>
          </cell>
          <cell r="S47">
            <v>0</v>
          </cell>
        </row>
        <row r="48">
          <cell r="D48">
            <v>24326373.202999998</v>
          </cell>
          <cell r="P48">
            <v>11630722.35</v>
          </cell>
          <cell r="S48">
            <v>2442513.9131172202</v>
          </cell>
        </row>
        <row r="49">
          <cell r="D49">
            <v>135204.834</v>
          </cell>
        </row>
        <row r="50">
          <cell r="D50">
            <v>32916.165999999997</v>
          </cell>
          <cell r="P50">
            <v>212406.85</v>
          </cell>
        </row>
        <row r="52">
          <cell r="D52">
            <v>65957341.944999993</v>
          </cell>
          <cell r="G52">
            <v>4198046.5820000004</v>
          </cell>
          <cell r="P52">
            <v>0</v>
          </cell>
          <cell r="S52">
            <v>0</v>
          </cell>
        </row>
        <row r="53">
          <cell r="D53">
            <v>6213449.8859999999</v>
          </cell>
          <cell r="G53">
            <v>12605351.465</v>
          </cell>
          <cell r="P53">
            <v>100000</v>
          </cell>
          <cell r="S53">
            <v>2400638.0104095903</v>
          </cell>
        </row>
        <row r="54">
          <cell r="D54">
            <v>2235338.9360000002</v>
          </cell>
          <cell r="G54">
            <v>1103833.6500000001</v>
          </cell>
          <cell r="P54">
            <v>13822839</v>
          </cell>
          <cell r="S54">
            <v>606757.40099999995</v>
          </cell>
        </row>
        <row r="55">
          <cell r="D55">
            <v>0</v>
          </cell>
          <cell r="G55">
            <v>136255.307</v>
          </cell>
          <cell r="P55">
            <v>0</v>
          </cell>
        </row>
        <row r="57">
          <cell r="D57">
            <v>102257216.521</v>
          </cell>
        </row>
        <row r="104">
          <cell r="D104">
            <v>794200</v>
          </cell>
          <cell r="G104">
            <v>990800</v>
          </cell>
          <cell r="P104">
            <v>0</v>
          </cell>
        </row>
        <row r="105">
          <cell r="D105">
            <v>12600</v>
          </cell>
          <cell r="P105">
            <v>1154880</v>
          </cell>
          <cell r="S105">
            <v>1872166.85966908</v>
          </cell>
        </row>
        <row r="106">
          <cell r="D106">
            <v>0</v>
          </cell>
          <cell r="P106">
            <v>297000</v>
          </cell>
        </row>
        <row r="107">
          <cell r="D107">
            <v>45900</v>
          </cell>
          <cell r="J107">
            <v>17700</v>
          </cell>
          <cell r="P107">
            <v>749279.1179999999</v>
          </cell>
        </row>
        <row r="108">
          <cell r="D108">
            <v>70700</v>
          </cell>
          <cell r="J108">
            <v>4151600.0000000005</v>
          </cell>
          <cell r="P108">
            <v>82600</v>
          </cell>
        </row>
        <row r="111">
          <cell r="Y111">
            <v>437010</v>
          </cell>
        </row>
        <row r="112">
          <cell r="Y112">
            <v>570100</v>
          </cell>
        </row>
        <row r="113">
          <cell r="Y113">
            <v>1554280</v>
          </cell>
        </row>
        <row r="114">
          <cell r="Y114">
            <v>3023050</v>
          </cell>
        </row>
        <row r="132">
          <cell r="Y132">
            <v>178665100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FE 2024-2029 revue 4 FMI"/>
      <sheetName val="Trajectoire budgétaire FMI"/>
      <sheetName val="matrice 2024LF-2025PLF"/>
      <sheetName val="matrice 2024LF-2024 Révisé"/>
      <sheetName val="Recettes 2024-2027"/>
      <sheetName val="Tab PLF 2023-2027 FMI"/>
      <sheetName val="Tab PLF 2025"/>
      <sheetName val="Tab PLF 2025 Commentaires MEF"/>
      <sheetName val="Dépens de pers 2025-2027"/>
      <sheetName val="TOFE 2024-2029 DGE"/>
      <sheetName val="Trajectoire budgétaire DGE"/>
      <sheetName val="Tab PLF 2023-2027 DGE"/>
      <sheetName val="Tableaux agrégats"/>
      <sheetName val="CDMT init 2025-2027"/>
      <sheetName val="RECAP 2025"/>
      <sheetName val="RECAP PIP 2025-2027"/>
      <sheetName val="PIP par pilier et axe"/>
      <sheetName val="Répartit. fonct"/>
      <sheetName val="Synthèse"/>
      <sheetName val="Crédits add Fo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85">
          <cell r="U485">
            <v>15619842551</v>
          </cell>
        </row>
        <row r="648">
          <cell r="U648">
            <v>10213000000</v>
          </cell>
        </row>
        <row r="767">
          <cell r="U767">
            <v>239000000000</v>
          </cell>
        </row>
      </sheetData>
      <sheetData sheetId="14" refreshError="1">
        <row r="51">
          <cell r="O51">
            <v>150000</v>
          </cell>
          <cell r="P51">
            <v>850000</v>
          </cell>
        </row>
        <row r="52">
          <cell r="Q52">
            <v>99600000</v>
          </cell>
        </row>
        <row r="58">
          <cell r="P58">
            <v>5000000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étail par administration"/>
      <sheetName val="Récap par administration"/>
      <sheetName val="Décais CAA"/>
      <sheetName val="Graphes"/>
      <sheetName val="Graphes fin décembre"/>
      <sheetName val="Regroupement par fonction"/>
      <sheetName val="Classification programmatique"/>
      <sheetName val="Classification programmatiq (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AA4">
            <v>42778869.314000003</v>
          </cell>
          <cell r="AB4">
            <v>350438936.625</v>
          </cell>
          <cell r="AC4">
            <v>28878269.686999999</v>
          </cell>
          <cell r="AD4">
            <v>12684374.773</v>
          </cell>
        </row>
        <row r="5">
          <cell r="Z5">
            <v>50492408.802999996</v>
          </cell>
          <cell r="AA5">
            <v>18817275.028000001</v>
          </cell>
          <cell r="AB5">
            <v>456000</v>
          </cell>
          <cell r="AC5">
            <v>16264237.550000001</v>
          </cell>
          <cell r="AD5">
            <v>0</v>
          </cell>
        </row>
        <row r="6">
          <cell r="AA6">
            <v>9503559.7980000004</v>
          </cell>
          <cell r="AB6">
            <v>11712790.070999999</v>
          </cell>
          <cell r="AC6">
            <v>11176115.726</v>
          </cell>
        </row>
        <row r="7">
          <cell r="Z7">
            <v>34572782.687999994</v>
          </cell>
          <cell r="AA7">
            <v>17174711.634</v>
          </cell>
          <cell r="AB7">
            <v>36090038.324000001</v>
          </cell>
          <cell r="AC7">
            <v>198802996.75000003</v>
          </cell>
          <cell r="AD7">
            <v>229208360.15812159</v>
          </cell>
        </row>
        <row r="8">
          <cell r="Z8">
            <v>3894392.5890000002</v>
          </cell>
          <cell r="AA8">
            <v>98200</v>
          </cell>
          <cell r="AB8">
            <v>1965670.9999999998</v>
          </cell>
          <cell r="AC8">
            <v>27456545.223999999</v>
          </cell>
          <cell r="AD8">
            <v>35320157.265000001</v>
          </cell>
        </row>
        <row r="9">
          <cell r="Z9">
            <v>2288789.5089999996</v>
          </cell>
          <cell r="AA9">
            <v>2017193.247</v>
          </cell>
          <cell r="AB9">
            <v>706079.75</v>
          </cell>
          <cell r="AC9">
            <v>200221557.15000001</v>
          </cell>
          <cell r="AD9">
            <v>79912702.769909039</v>
          </cell>
        </row>
        <row r="10">
          <cell r="Z10">
            <v>43085256.388000004</v>
          </cell>
          <cell r="AA10">
            <v>5736963.9720000001</v>
          </cell>
          <cell r="AB10">
            <v>27125026.505000003</v>
          </cell>
          <cell r="AC10">
            <v>10325656.810000001</v>
          </cell>
          <cell r="AD10">
            <v>29336267.721000001</v>
          </cell>
        </row>
        <row r="11">
          <cell r="Z11">
            <v>2378218.878</v>
          </cell>
          <cell r="AA11">
            <v>4182587.5070000002</v>
          </cell>
          <cell r="AB11">
            <v>6580197.7039999999</v>
          </cell>
          <cell r="AC11">
            <v>49803547.273000002</v>
          </cell>
          <cell r="AD11">
            <v>15288895.339</v>
          </cell>
        </row>
        <row r="12">
          <cell r="Z12">
            <v>241995632.05500001</v>
          </cell>
          <cell r="AA12">
            <v>46564124.053000003</v>
          </cell>
          <cell r="AB12">
            <v>47565925.398999996</v>
          </cell>
          <cell r="AC12">
            <v>37887077.774999999</v>
          </cell>
          <cell r="AD12">
            <v>3134575.7670000005</v>
          </cell>
        </row>
        <row r="13">
          <cell r="Z13">
            <v>2729853.0300000003</v>
          </cell>
          <cell r="AA13">
            <v>2284397.9930000002</v>
          </cell>
          <cell r="AB13">
            <v>88353745.470000014</v>
          </cell>
          <cell r="AC13">
            <v>2034103.5730000001</v>
          </cell>
          <cell r="AD13">
            <v>26651307.578000002</v>
          </cell>
        </row>
      </sheetData>
      <sheetData sheetId="6" refreshError="1"/>
      <sheetData sheetId="7">
        <row r="115">
          <cell r="P115">
            <v>579500327.99500012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49"/>
  <sheetViews>
    <sheetView tabSelected="1" zoomScale="96" zoomScaleNormal="96" workbookViewId="0">
      <pane xSplit="2" ySplit="6" topLeftCell="S138" activePane="bottomRight" state="frozen"/>
      <selection pane="topRight" activeCell="C1" sqref="C1"/>
      <selection pane="bottomLeft" activeCell="A7" sqref="A7"/>
      <selection pane="bottomRight" activeCell="L4" sqref="L4:T4"/>
    </sheetView>
  </sheetViews>
  <sheetFormatPr baseColWidth="10" defaultColWidth="11.42578125" defaultRowHeight="15" x14ac:dyDescent="0.25"/>
  <cols>
    <col min="1" max="1" width="7.42578125" style="86" customWidth="1"/>
    <col min="2" max="2" width="78.5703125" customWidth="1"/>
    <col min="3" max="3" width="16.7109375" customWidth="1"/>
    <col min="4" max="4" width="16.85546875" customWidth="1"/>
    <col min="5" max="5" width="16.42578125" customWidth="1"/>
    <col min="6" max="6" width="17.7109375" customWidth="1"/>
    <col min="7" max="7" width="16.42578125" customWidth="1"/>
    <col min="8" max="8" width="17.140625" customWidth="1"/>
    <col min="9" max="9" width="0.140625" customWidth="1"/>
    <col min="10" max="10" width="19" customWidth="1"/>
    <col min="11" max="11" width="21.42578125" customWidth="1"/>
    <col min="12" max="12" width="19" customWidth="1"/>
    <col min="13" max="13" width="15.85546875" customWidth="1"/>
    <col min="14" max="14" width="16.42578125" customWidth="1"/>
    <col min="15" max="15" width="17.7109375" customWidth="1"/>
    <col min="16" max="16" width="16.42578125" customWidth="1"/>
    <col min="17" max="17" width="16.28515625" customWidth="1"/>
    <col min="18" max="18" width="17" customWidth="1"/>
    <col min="19" max="20" width="18.7109375" customWidth="1"/>
    <col min="21" max="21" width="17" customWidth="1"/>
    <col min="22" max="22" width="18.28515625" customWidth="1"/>
    <col min="23" max="23" width="19.140625" customWidth="1"/>
    <col min="24" max="24" width="18.140625" customWidth="1"/>
    <col min="25" max="25" width="16.28515625" customWidth="1"/>
    <col min="26" max="26" width="17.42578125" customWidth="1"/>
    <col min="27" max="27" width="16.28515625" customWidth="1"/>
    <col min="28" max="28" width="15.85546875" customWidth="1"/>
    <col min="29" max="29" width="18" customWidth="1"/>
    <col min="30" max="30" width="25.85546875" customWidth="1"/>
    <col min="31" max="31" width="26.28515625" customWidth="1"/>
    <col min="32" max="32" width="27" customWidth="1"/>
    <col min="33" max="33" width="19.85546875" customWidth="1"/>
    <col min="34" max="34" width="17.85546875" customWidth="1"/>
    <col min="35" max="35" width="19.5703125" customWidth="1"/>
    <col min="36" max="36" width="18.28515625" customWidth="1"/>
    <col min="37" max="37" width="19.140625" customWidth="1"/>
    <col min="38" max="38" width="18" customWidth="1"/>
    <col min="39" max="39" width="17.85546875" customWidth="1"/>
    <col min="40" max="40" width="18.5703125" customWidth="1"/>
    <col min="41" max="41" width="20.7109375" customWidth="1"/>
    <col min="42" max="42" width="18.28515625" customWidth="1"/>
    <col min="43" max="43" width="18.140625" customWidth="1"/>
    <col min="44" max="44" width="16.7109375" customWidth="1"/>
    <col min="45" max="45" width="15.85546875" customWidth="1"/>
    <col min="46" max="47" width="18.140625" customWidth="1"/>
    <col min="48" max="48" width="17.28515625" customWidth="1"/>
    <col min="49" max="49" width="18" customWidth="1"/>
    <col min="50" max="50" width="17.140625" customWidth="1"/>
    <col min="51" max="51" width="18.7109375" customWidth="1"/>
    <col min="52" max="52" width="19.28515625" customWidth="1"/>
    <col min="53" max="53" width="16.5703125" customWidth="1"/>
    <col min="54" max="54" width="15.7109375" customWidth="1"/>
    <col min="55" max="55" width="23.85546875" customWidth="1"/>
    <col min="56" max="56" width="18.42578125" customWidth="1"/>
  </cols>
  <sheetData>
    <row r="1" spans="1:57" hidden="1" x14ac:dyDescent="0.25">
      <c r="H1" s="22"/>
      <c r="AH1" s="25"/>
      <c r="AJ1" s="22"/>
      <c r="AL1" s="22"/>
      <c r="AV1" s="22"/>
      <c r="BD1" s="22"/>
    </row>
    <row r="2" spans="1:57" hidden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V2" s="181"/>
      <c r="W2" s="181"/>
      <c r="X2" s="181"/>
      <c r="Y2" s="181"/>
      <c r="Z2" s="181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>
        <f>AI7+AI40+AI44+AR1347</f>
        <v>8920555</v>
      </c>
      <c r="AN2" s="22"/>
      <c r="AO2" s="22">
        <f>AN44-AE44</f>
        <v>0</v>
      </c>
      <c r="AP2" s="22"/>
      <c r="AQ2" s="25">
        <f>AN123-AE123</f>
        <v>-2955273.9919999838</v>
      </c>
      <c r="AR2" s="19"/>
      <c r="AS2" s="24"/>
      <c r="AT2" s="22">
        <f>AF44-AO44</f>
        <v>0</v>
      </c>
      <c r="AU2" s="22"/>
      <c r="AV2" s="19"/>
      <c r="AW2" s="24"/>
      <c r="AX2" s="22"/>
      <c r="AY2" s="22"/>
      <c r="AZ2" s="22"/>
      <c r="BA2" s="22"/>
    </row>
    <row r="3" spans="1:57" x14ac:dyDescent="0.25">
      <c r="B3" s="19"/>
      <c r="I3" s="22"/>
      <c r="J3" s="19"/>
      <c r="L3" s="22"/>
      <c r="M3" s="22"/>
      <c r="O3" s="22"/>
      <c r="AD3" s="22" t="s">
        <v>194</v>
      </c>
      <c r="AG3" s="26"/>
      <c r="AK3" s="22"/>
      <c r="AL3" s="22"/>
      <c r="AN3" s="22"/>
      <c r="BA3" s="180" t="s">
        <v>181</v>
      </c>
      <c r="BB3" s="180"/>
      <c r="BC3" s="180"/>
    </row>
    <row r="4" spans="1:57" ht="15" customHeight="1" x14ac:dyDescent="0.25">
      <c r="B4" s="19"/>
      <c r="C4" s="175">
        <v>2022</v>
      </c>
      <c r="D4" s="176"/>
      <c r="E4" s="176"/>
      <c r="F4" s="176"/>
      <c r="G4" s="176"/>
      <c r="H4" s="176"/>
      <c r="I4" s="176"/>
      <c r="J4" s="176"/>
      <c r="K4" s="177"/>
      <c r="L4" s="175">
        <v>2023</v>
      </c>
      <c r="M4" s="176"/>
      <c r="N4" s="176"/>
      <c r="O4" s="176"/>
      <c r="P4" s="176"/>
      <c r="Q4" s="176"/>
      <c r="R4" s="176"/>
      <c r="S4" s="176"/>
      <c r="T4" s="177"/>
      <c r="U4" s="175">
        <v>2024</v>
      </c>
      <c r="V4" s="176"/>
      <c r="W4" s="176"/>
      <c r="X4" s="176"/>
      <c r="Y4" s="176"/>
      <c r="Z4" s="176"/>
      <c r="AA4" s="176"/>
      <c r="AB4" s="176"/>
      <c r="AC4" s="177"/>
      <c r="AD4" s="175">
        <v>2025</v>
      </c>
      <c r="AE4" s="176"/>
      <c r="AF4" s="176"/>
      <c r="AG4" s="176"/>
      <c r="AH4" s="176"/>
      <c r="AI4" s="176"/>
      <c r="AJ4" s="176"/>
      <c r="AK4" s="176"/>
      <c r="AL4" s="177"/>
      <c r="AM4" s="175">
        <v>2026</v>
      </c>
      <c r="AN4" s="176"/>
      <c r="AO4" s="176"/>
      <c r="AP4" s="176"/>
      <c r="AQ4" s="176"/>
      <c r="AR4" s="176"/>
      <c r="AS4" s="176"/>
      <c r="AT4" s="176"/>
      <c r="AU4" s="177"/>
      <c r="AV4" s="175">
        <v>2027</v>
      </c>
      <c r="AW4" s="176"/>
      <c r="AX4" s="176"/>
      <c r="AY4" s="176"/>
      <c r="AZ4" s="176"/>
      <c r="BA4" s="176"/>
      <c r="BB4" s="176"/>
      <c r="BC4" s="176"/>
      <c r="BD4" s="177"/>
    </row>
    <row r="5" spans="1:57" ht="16.5" customHeight="1" x14ac:dyDescent="0.25">
      <c r="A5" s="45"/>
      <c r="B5" s="19"/>
      <c r="C5" s="175" t="s">
        <v>0</v>
      </c>
      <c r="D5" s="176"/>
      <c r="E5" s="176"/>
      <c r="F5" s="177"/>
      <c r="G5" s="174" t="s">
        <v>1</v>
      </c>
      <c r="H5" s="174"/>
      <c r="I5" s="174"/>
      <c r="J5" s="174"/>
      <c r="K5" s="27"/>
      <c r="L5" s="175" t="s">
        <v>0</v>
      </c>
      <c r="M5" s="176"/>
      <c r="N5" s="176"/>
      <c r="O5" s="177"/>
      <c r="P5" s="174" t="s">
        <v>1</v>
      </c>
      <c r="Q5" s="174"/>
      <c r="R5" s="174"/>
      <c r="S5" s="174"/>
      <c r="T5" s="27"/>
      <c r="U5" s="175" t="s">
        <v>0</v>
      </c>
      <c r="V5" s="176"/>
      <c r="W5" s="176"/>
      <c r="X5" s="177"/>
      <c r="Y5" s="174" t="s">
        <v>1</v>
      </c>
      <c r="Z5" s="174"/>
      <c r="AA5" s="174"/>
      <c r="AB5" s="174"/>
      <c r="AC5" s="27"/>
      <c r="AD5" s="175" t="s">
        <v>0</v>
      </c>
      <c r="AE5" s="176"/>
      <c r="AF5" s="176"/>
      <c r="AG5" s="177"/>
      <c r="AH5" s="174" t="s">
        <v>1</v>
      </c>
      <c r="AI5" s="174"/>
      <c r="AJ5" s="174"/>
      <c r="AK5" s="174"/>
      <c r="AL5" s="174"/>
      <c r="AM5" s="175" t="s">
        <v>0</v>
      </c>
      <c r="AN5" s="176"/>
      <c r="AO5" s="176"/>
      <c r="AP5" s="177"/>
      <c r="AQ5" s="174" t="s">
        <v>1</v>
      </c>
      <c r="AR5" s="174"/>
      <c r="AS5" s="174"/>
      <c r="AT5" s="174"/>
      <c r="AU5" s="174"/>
      <c r="AV5" s="175" t="s">
        <v>0</v>
      </c>
      <c r="AW5" s="176"/>
      <c r="AX5" s="176"/>
      <c r="AY5" s="177"/>
      <c r="AZ5" s="174" t="s">
        <v>1</v>
      </c>
      <c r="BA5" s="174"/>
      <c r="BB5" s="174"/>
      <c r="BC5" s="174"/>
      <c r="BD5" s="174"/>
    </row>
    <row r="6" spans="1:57" ht="44.45" customHeight="1" x14ac:dyDescent="0.25">
      <c r="A6" s="2" t="s">
        <v>2</v>
      </c>
      <c r="B6" s="2" t="s">
        <v>270</v>
      </c>
      <c r="C6" s="3" t="s">
        <v>3</v>
      </c>
      <c r="D6" s="3" t="s">
        <v>4</v>
      </c>
      <c r="E6" s="3" t="s">
        <v>5</v>
      </c>
      <c r="F6" s="4" t="s">
        <v>6</v>
      </c>
      <c r="G6" s="3" t="s">
        <v>7</v>
      </c>
      <c r="H6" s="190" t="s">
        <v>277</v>
      </c>
      <c r="I6" s="191"/>
      <c r="J6" s="4" t="s">
        <v>10</v>
      </c>
      <c r="K6" s="85" t="s">
        <v>179</v>
      </c>
      <c r="L6" s="3" t="s">
        <v>3</v>
      </c>
      <c r="M6" s="3" t="s">
        <v>4</v>
      </c>
      <c r="N6" s="3" t="s">
        <v>5</v>
      </c>
      <c r="O6" s="4" t="s">
        <v>6</v>
      </c>
      <c r="P6" s="3" t="s">
        <v>7</v>
      </c>
      <c r="Q6" s="3" t="s">
        <v>8</v>
      </c>
      <c r="R6" s="3" t="s">
        <v>9</v>
      </c>
      <c r="S6" s="4" t="s">
        <v>10</v>
      </c>
      <c r="T6" s="85" t="s">
        <v>179</v>
      </c>
      <c r="U6" s="3" t="s">
        <v>3</v>
      </c>
      <c r="V6" s="3" t="s">
        <v>4</v>
      </c>
      <c r="W6" s="3" t="s">
        <v>5</v>
      </c>
      <c r="X6" s="4" t="s">
        <v>6</v>
      </c>
      <c r="Y6" s="3" t="s">
        <v>7</v>
      </c>
      <c r="Z6" s="3" t="s">
        <v>8</v>
      </c>
      <c r="AA6" s="3" t="s">
        <v>9</v>
      </c>
      <c r="AB6" s="4" t="s">
        <v>10</v>
      </c>
      <c r="AC6" s="85" t="s">
        <v>179</v>
      </c>
      <c r="AD6" s="3" t="s">
        <v>3</v>
      </c>
      <c r="AE6" s="3" t="s">
        <v>4</v>
      </c>
      <c r="AF6" s="3" t="s">
        <v>5</v>
      </c>
      <c r="AG6" s="4" t="s">
        <v>6</v>
      </c>
      <c r="AH6" s="3" t="s">
        <v>7</v>
      </c>
      <c r="AI6" s="3" t="s">
        <v>8</v>
      </c>
      <c r="AJ6" s="3" t="s">
        <v>9</v>
      </c>
      <c r="AK6" s="4" t="s">
        <v>10</v>
      </c>
      <c r="AL6" s="85" t="s">
        <v>179</v>
      </c>
      <c r="AM6" s="3" t="s">
        <v>3</v>
      </c>
      <c r="AN6" s="3" t="s">
        <v>4</v>
      </c>
      <c r="AO6" s="3" t="s">
        <v>5</v>
      </c>
      <c r="AP6" s="4" t="s">
        <v>6</v>
      </c>
      <c r="AQ6" s="3" t="s">
        <v>7</v>
      </c>
      <c r="AR6" s="3" t="s">
        <v>8</v>
      </c>
      <c r="AS6" s="3" t="s">
        <v>9</v>
      </c>
      <c r="AT6" s="4" t="s">
        <v>10</v>
      </c>
      <c r="AU6" s="85" t="s">
        <v>179</v>
      </c>
      <c r="AV6" s="3" t="s">
        <v>3</v>
      </c>
      <c r="AW6" s="3" t="s">
        <v>4</v>
      </c>
      <c r="AX6" s="3" t="s">
        <v>5</v>
      </c>
      <c r="AY6" s="4" t="s">
        <v>6</v>
      </c>
      <c r="AZ6" s="3" t="s">
        <v>7</v>
      </c>
      <c r="BA6" s="3" t="s">
        <v>8</v>
      </c>
      <c r="BB6" s="3" t="s">
        <v>9</v>
      </c>
      <c r="BC6" s="4" t="s">
        <v>10</v>
      </c>
      <c r="BD6" s="85" t="s">
        <v>179</v>
      </c>
      <c r="BE6" s="20"/>
    </row>
    <row r="7" spans="1:57" ht="16.5" customHeight="1" thickBot="1" x14ac:dyDescent="0.3">
      <c r="A7" s="178" t="s">
        <v>248</v>
      </c>
      <c r="B7" s="179"/>
      <c r="C7" s="141">
        <f>C8+C9</f>
        <v>1117950</v>
      </c>
      <c r="D7" s="141">
        <f>D8+D9</f>
        <v>2480961.1570000001</v>
      </c>
      <c r="E7" s="141">
        <f>E8+E9</f>
        <v>331003.82699999999</v>
      </c>
      <c r="F7" s="143">
        <f>C7+D7+E7</f>
        <v>3929914.9840000002</v>
      </c>
      <c r="G7" s="141">
        <f>G8+G9</f>
        <v>450000</v>
      </c>
      <c r="H7" s="141">
        <f>H8+H9</f>
        <v>283480.06948905997</v>
      </c>
      <c r="I7" s="141"/>
      <c r="J7" s="143">
        <f>G7+H7</f>
        <v>733480.06948905997</v>
      </c>
      <c r="K7" s="146">
        <f>F7+J7</f>
        <v>4663395.0534890601</v>
      </c>
      <c r="L7" s="141">
        <f>L8+L9</f>
        <v>1819885.6809999999</v>
      </c>
      <c r="M7" s="141">
        <f>M8+M9</f>
        <v>2311320.6330000004</v>
      </c>
      <c r="N7" s="141">
        <f>N8+N9</f>
        <v>361951.39799999999</v>
      </c>
      <c r="O7" s="143">
        <f>L7+M7+N7</f>
        <v>4493157.7120000003</v>
      </c>
      <c r="P7" s="141">
        <f>P8+P9</f>
        <v>895454.5</v>
      </c>
      <c r="Q7" s="141">
        <f>Q8+Q9</f>
        <v>0</v>
      </c>
      <c r="R7" s="141">
        <f>R8+R9</f>
        <v>0</v>
      </c>
      <c r="S7" s="143">
        <f>P7+Q7+R7</f>
        <v>895454.5</v>
      </c>
      <c r="T7" s="146">
        <f>T8+T9</f>
        <v>5388612.2120000003</v>
      </c>
      <c r="U7" s="5">
        <f>U8+U9</f>
        <v>2009310</v>
      </c>
      <c r="V7" s="5">
        <f>V8+V9</f>
        <v>2778642</v>
      </c>
      <c r="W7" s="5">
        <f>W8+W9</f>
        <v>566970</v>
      </c>
      <c r="X7" s="73">
        <f>U7+V7+W7</f>
        <v>5354922</v>
      </c>
      <c r="Y7" s="5">
        <f>Y8+Y9</f>
        <v>1690909</v>
      </c>
      <c r="Z7" s="5">
        <f>Z8+Z9</f>
        <v>3763500</v>
      </c>
      <c r="AA7" s="5">
        <f>AA8+AA9</f>
        <v>0</v>
      </c>
      <c r="AB7" s="73">
        <f>Y7+Z7+AA7</f>
        <v>5454409</v>
      </c>
      <c r="AC7" s="80">
        <f>X7+AB7</f>
        <v>10809331</v>
      </c>
      <c r="AD7" s="5">
        <f>AD8+AD9</f>
        <v>1955707</v>
      </c>
      <c r="AE7" s="5">
        <f>AE8+AE9</f>
        <v>2814355</v>
      </c>
      <c r="AF7" s="5">
        <f>AF8+AF9</f>
        <v>931257</v>
      </c>
      <c r="AG7" s="73">
        <f>AD7+AE7+AF7</f>
        <v>5701319</v>
      </c>
      <c r="AH7" s="5">
        <f>AH8+AH9</f>
        <v>2309091</v>
      </c>
      <c r="AI7" s="5">
        <f>AI8+AI9</f>
        <v>0</v>
      </c>
      <c r="AJ7" s="5">
        <f>AJ8+AJ9</f>
        <v>0</v>
      </c>
      <c r="AK7" s="73">
        <f>AH7+AI7+AJ7</f>
        <v>2309091</v>
      </c>
      <c r="AL7" s="80">
        <f>AG7+AH7</f>
        <v>8010410</v>
      </c>
      <c r="AM7" s="5">
        <f>AM8+AM9</f>
        <v>2063691</v>
      </c>
      <c r="AN7" s="5">
        <f>AN8+AN9</f>
        <v>2628642</v>
      </c>
      <c r="AO7" s="5">
        <f>AO8+AO9</f>
        <v>1116970</v>
      </c>
      <c r="AP7" s="73">
        <f>AM7+AN7+AO7</f>
        <v>5809303</v>
      </c>
      <c r="AQ7" s="5">
        <f>AQ8+AQ9</f>
        <v>2809091</v>
      </c>
      <c r="AR7" s="5">
        <f>AR8+AR9</f>
        <v>0</v>
      </c>
      <c r="AS7" s="5">
        <f>AS8+AS9</f>
        <v>0</v>
      </c>
      <c r="AT7" s="73">
        <f>AQ7+AR7+AS7</f>
        <v>2809091</v>
      </c>
      <c r="AU7" s="80">
        <f t="shared" ref="AU7:AU20" si="0">AP7+AT7</f>
        <v>8618394</v>
      </c>
      <c r="AV7" s="5">
        <f>AV8+AV9</f>
        <v>2155576</v>
      </c>
      <c r="AW7" s="5">
        <f>AW8+AW9</f>
        <v>2628642</v>
      </c>
      <c r="AX7" s="5">
        <f>AX8+AX9</f>
        <v>1116970</v>
      </c>
      <c r="AY7" s="73">
        <f>AV7+AW7+AX7</f>
        <v>5901188</v>
      </c>
      <c r="AZ7" s="5">
        <f>AZ8+AZ9</f>
        <v>2000000</v>
      </c>
      <c r="BA7" s="5">
        <f>BA8+BA9</f>
        <v>0</v>
      </c>
      <c r="BB7" s="5">
        <f>BB8+BB9</f>
        <v>0</v>
      </c>
      <c r="BC7" s="73">
        <f>AZ7+BA7+BB7</f>
        <v>2000000</v>
      </c>
      <c r="BD7" s="80">
        <f>AY7+BC7</f>
        <v>7901188</v>
      </c>
    </row>
    <row r="8" spans="1:57" ht="16.5" customHeight="1" thickBot="1" x14ac:dyDescent="0.3">
      <c r="A8" s="88" t="s">
        <v>12</v>
      </c>
      <c r="B8" s="6" t="s">
        <v>249</v>
      </c>
      <c r="C8" s="28">
        <v>994504</v>
      </c>
      <c r="D8" s="140">
        <v>2325265.2110000001</v>
      </c>
      <c r="E8" s="140">
        <v>128066.82699999999</v>
      </c>
      <c r="F8" s="144">
        <f>SUM(C8:E8)</f>
        <v>3447836.0380000002</v>
      </c>
      <c r="G8" s="140">
        <v>0</v>
      </c>
      <c r="H8" s="140">
        <v>0</v>
      </c>
      <c r="I8" s="140">
        <v>0</v>
      </c>
      <c r="J8" s="144">
        <f>G8+H8+I8</f>
        <v>0</v>
      </c>
      <c r="K8" s="146">
        <f>F8+J8</f>
        <v>3447836.0380000002</v>
      </c>
      <c r="L8" s="140">
        <v>1148065.3319999999</v>
      </c>
      <c r="M8" s="140">
        <v>2066311.5440000002</v>
      </c>
      <c r="N8" s="140">
        <v>116481.398</v>
      </c>
      <c r="O8" s="145">
        <f t="shared" ref="O8:O68" si="1">L8+M8+N8</f>
        <v>3330858.2740000002</v>
      </c>
      <c r="P8" s="140">
        <v>0</v>
      </c>
      <c r="Q8" s="30">
        <v>0</v>
      </c>
      <c r="R8" s="30">
        <v>0</v>
      </c>
      <c r="S8" s="144">
        <f t="shared" ref="S8:S68" si="2">P8+Q8+R8</f>
        <v>0</v>
      </c>
      <c r="T8" s="146">
        <f t="shared" ref="T8:T68" si="3">O8+S8</f>
        <v>3330858.2740000002</v>
      </c>
      <c r="U8" s="7">
        <v>1460689</v>
      </c>
      <c r="V8" s="7">
        <v>2213684</v>
      </c>
      <c r="W8" s="7">
        <v>121500</v>
      </c>
      <c r="X8" s="74">
        <f>SUM(U8:W8)</f>
        <v>3795873</v>
      </c>
      <c r="Y8" s="7">
        <v>0</v>
      </c>
      <c r="Z8" s="7">
        <v>0</v>
      </c>
      <c r="AA8" s="7">
        <v>0</v>
      </c>
      <c r="AB8" s="74">
        <f>Y8+Z8+AA8</f>
        <v>0</v>
      </c>
      <c r="AC8" s="80">
        <f>X8+AB8</f>
        <v>3795873</v>
      </c>
      <c r="AD8" s="7">
        <v>1339732</v>
      </c>
      <c r="AE8" s="7">
        <v>2258327</v>
      </c>
      <c r="AF8" s="7">
        <v>485787</v>
      </c>
      <c r="AG8" s="74">
        <f>SUM(AD8:AF8)</f>
        <v>4083846</v>
      </c>
      <c r="AH8" s="7">
        <v>0</v>
      </c>
      <c r="AI8" s="7">
        <v>0</v>
      </c>
      <c r="AJ8" s="7">
        <v>0</v>
      </c>
      <c r="AK8" s="74">
        <f t="shared" ref="AK8:AK15" si="4">AH8+AI8+AJ8</f>
        <v>0</v>
      </c>
      <c r="AL8" s="80">
        <f t="shared" ref="AL8:AL42" si="5">AG8+AK8</f>
        <v>4083846</v>
      </c>
      <c r="AM8" s="7">
        <v>1415205</v>
      </c>
      <c r="AN8" s="7">
        <v>2063684</v>
      </c>
      <c r="AO8" s="7">
        <v>671500</v>
      </c>
      <c r="AP8" s="74">
        <f>SUM(AM8:AO8)</f>
        <v>4150389</v>
      </c>
      <c r="AQ8" s="7">
        <v>0</v>
      </c>
      <c r="AR8" s="7">
        <v>0</v>
      </c>
      <c r="AS8" s="7">
        <v>0</v>
      </c>
      <c r="AT8" s="74">
        <f>AQ8+AR8+AS8</f>
        <v>0</v>
      </c>
      <c r="AU8" s="97">
        <f t="shared" si="0"/>
        <v>4150389</v>
      </c>
      <c r="AV8" s="7">
        <v>1478011</v>
      </c>
      <c r="AW8" s="7">
        <v>2063684</v>
      </c>
      <c r="AX8" s="7">
        <v>671500</v>
      </c>
      <c r="AY8" s="98">
        <f>AV8+AW8+AX8</f>
        <v>4213195</v>
      </c>
      <c r="AZ8" s="7">
        <v>0</v>
      </c>
      <c r="BA8" s="7">
        <v>0</v>
      </c>
      <c r="BB8" s="7">
        <v>0</v>
      </c>
      <c r="BC8" s="98">
        <f t="shared" ref="BC8:BC68" si="6">AZ8+BA8+BB8</f>
        <v>0</v>
      </c>
      <c r="BD8" s="80">
        <f t="shared" ref="BD8:BD68" si="7">AY8+BC8</f>
        <v>4213195</v>
      </c>
    </row>
    <row r="9" spans="1:57" ht="16.5" customHeight="1" thickBot="1" x14ac:dyDescent="0.3">
      <c r="A9" s="88" t="s">
        <v>13</v>
      </c>
      <c r="B9" s="6" t="s">
        <v>232</v>
      </c>
      <c r="C9" s="29">
        <v>123446</v>
      </c>
      <c r="D9" s="140">
        <v>155695.946</v>
      </c>
      <c r="E9" s="140">
        <v>202937</v>
      </c>
      <c r="F9" s="144">
        <f>SUM(C9:E9)</f>
        <v>482078.946</v>
      </c>
      <c r="G9" s="140">
        <v>450000</v>
      </c>
      <c r="H9" s="140">
        <v>283480.06948905997</v>
      </c>
      <c r="I9" s="140">
        <v>283480.06948905997</v>
      </c>
      <c r="J9" s="144">
        <f>G9+H9</f>
        <v>733480.06948905997</v>
      </c>
      <c r="K9" s="146">
        <f>F9+J9</f>
        <v>1215559.01548906</v>
      </c>
      <c r="L9" s="140">
        <v>671820.34899999993</v>
      </c>
      <c r="M9" s="140">
        <v>245009.08900000001</v>
      </c>
      <c r="N9" s="140">
        <v>245470</v>
      </c>
      <c r="O9" s="145">
        <f t="shared" si="1"/>
        <v>1162299.4380000001</v>
      </c>
      <c r="P9" s="140">
        <v>895454.5</v>
      </c>
      <c r="Q9" s="30">
        <v>0</v>
      </c>
      <c r="R9" s="30">
        <v>0</v>
      </c>
      <c r="S9" s="144">
        <f t="shared" si="2"/>
        <v>895454.5</v>
      </c>
      <c r="T9" s="146">
        <f t="shared" si="3"/>
        <v>2057753.9380000001</v>
      </c>
      <c r="U9" s="7">
        <v>548621</v>
      </c>
      <c r="V9" s="7">
        <v>564958</v>
      </c>
      <c r="W9" s="7">
        <v>445470</v>
      </c>
      <c r="X9" s="74">
        <f>SUM(U9:W9)</f>
        <v>1559049</v>
      </c>
      <c r="Y9" s="7">
        <v>1690909</v>
      </c>
      <c r="Z9" s="7">
        <v>3763500</v>
      </c>
      <c r="AA9" s="7">
        <v>0</v>
      </c>
      <c r="AB9" s="74">
        <f>Y9+Z9+AA9</f>
        <v>5454409</v>
      </c>
      <c r="AC9" s="80">
        <f>X9+AB9</f>
        <v>7013458</v>
      </c>
      <c r="AD9" s="7">
        <v>615975</v>
      </c>
      <c r="AE9" s="7">
        <v>556028</v>
      </c>
      <c r="AF9" s="7">
        <v>445470</v>
      </c>
      <c r="AG9" s="74">
        <f>SUM(AD9:AF9)</f>
        <v>1617473</v>
      </c>
      <c r="AH9" s="7">
        <v>2309091</v>
      </c>
      <c r="AI9" s="7">
        <v>0</v>
      </c>
      <c r="AJ9" s="7">
        <v>0</v>
      </c>
      <c r="AK9" s="74">
        <f t="shared" si="4"/>
        <v>2309091</v>
      </c>
      <c r="AL9" s="80">
        <f t="shared" si="5"/>
        <v>3926564</v>
      </c>
      <c r="AM9" s="7">
        <v>648486</v>
      </c>
      <c r="AN9" s="7">
        <v>564958</v>
      </c>
      <c r="AO9" s="7">
        <v>445470</v>
      </c>
      <c r="AP9" s="74">
        <f>SUM(AM9:AO9)</f>
        <v>1658914</v>
      </c>
      <c r="AQ9" s="7">
        <v>2809091</v>
      </c>
      <c r="AR9" s="7">
        <v>0</v>
      </c>
      <c r="AS9" s="7">
        <v>0</v>
      </c>
      <c r="AT9" s="74">
        <f>AQ9+AR9+AS9</f>
        <v>2809091</v>
      </c>
      <c r="AU9" s="97">
        <f t="shared" si="0"/>
        <v>4468005</v>
      </c>
      <c r="AV9" s="7">
        <v>677565</v>
      </c>
      <c r="AW9" s="7">
        <v>564958</v>
      </c>
      <c r="AX9" s="7">
        <v>445470</v>
      </c>
      <c r="AY9" s="98">
        <f>AV9+AW9+AX9</f>
        <v>1687993</v>
      </c>
      <c r="AZ9" s="7">
        <v>2000000</v>
      </c>
      <c r="BA9" s="7">
        <v>0</v>
      </c>
      <c r="BB9" s="7">
        <v>0</v>
      </c>
      <c r="BC9" s="98">
        <f t="shared" si="6"/>
        <v>2000000</v>
      </c>
      <c r="BD9" s="80">
        <f t="shared" si="7"/>
        <v>3687993</v>
      </c>
    </row>
    <row r="10" spans="1:57" ht="16.5" customHeight="1" thickBot="1" x14ac:dyDescent="0.3">
      <c r="A10" s="171" t="s">
        <v>14</v>
      </c>
      <c r="B10" s="172"/>
      <c r="C10" s="141">
        <f t="shared" ref="C10:K10" si="8">C11+C12+C13+C14+C15</f>
        <v>7284190</v>
      </c>
      <c r="D10" s="141">
        <f>D11+D12+D13+D14+D15</f>
        <v>2465525.4950000001</v>
      </c>
      <c r="E10" s="142">
        <f t="shared" si="8"/>
        <v>10910857.567</v>
      </c>
      <c r="F10" s="141">
        <f t="shared" si="8"/>
        <v>20660573.061999999</v>
      </c>
      <c r="G10" s="142">
        <f t="shared" si="8"/>
        <v>5276186.216</v>
      </c>
      <c r="H10" s="142">
        <f t="shared" si="8"/>
        <v>0</v>
      </c>
      <c r="I10" s="142">
        <f t="shared" si="8"/>
        <v>0</v>
      </c>
      <c r="J10" s="141">
        <f t="shared" si="8"/>
        <v>5276186.216</v>
      </c>
      <c r="K10" s="141">
        <f t="shared" si="8"/>
        <v>25936759.277999997</v>
      </c>
      <c r="L10" s="141">
        <f>L11+L12+L13+L14+L15</f>
        <v>8935643.7950000018</v>
      </c>
      <c r="M10" s="141">
        <f>M11+M12+M13+M14+M15</f>
        <v>2542597.3739999994</v>
      </c>
      <c r="N10" s="141">
        <f>N11+N12+N13+N14+N15</f>
        <v>11228790.071</v>
      </c>
      <c r="O10" s="143">
        <f t="shared" si="1"/>
        <v>22707031.240000002</v>
      </c>
      <c r="P10" s="141">
        <f>P11+P12+P13+P14+P15</f>
        <v>4400000</v>
      </c>
      <c r="Q10" s="141">
        <f>Q11+Q12+Q13+Q14+Q15</f>
        <v>0</v>
      </c>
      <c r="R10" s="141">
        <f>R11+R12+R13+R14+R15</f>
        <v>0</v>
      </c>
      <c r="S10" s="143">
        <f t="shared" si="2"/>
        <v>4400000</v>
      </c>
      <c r="T10" s="146">
        <f>T11+T12+T13+T14+T15</f>
        <v>27107031.240000006</v>
      </c>
      <c r="U10" s="5">
        <f t="shared" ref="U10:AC10" si="9">U11+U12+U13+U14+U15</f>
        <v>10357870</v>
      </c>
      <c r="V10" s="5">
        <f t="shared" si="9"/>
        <v>4696684</v>
      </c>
      <c r="W10" s="5">
        <f t="shared" si="9"/>
        <v>10378981</v>
      </c>
      <c r="X10" s="73">
        <f t="shared" si="9"/>
        <v>25433535</v>
      </c>
      <c r="Y10" s="5">
        <f t="shared" si="9"/>
        <v>11780000</v>
      </c>
      <c r="Z10" s="5">
        <f t="shared" si="9"/>
        <v>0</v>
      </c>
      <c r="AA10" s="5">
        <f t="shared" si="9"/>
        <v>0</v>
      </c>
      <c r="AB10" s="73">
        <f t="shared" si="9"/>
        <v>11780000</v>
      </c>
      <c r="AC10" s="80">
        <f t="shared" si="9"/>
        <v>37213535</v>
      </c>
      <c r="AD10" s="5">
        <f t="shared" ref="AD10:AT10" si="10">AD11+AD12+AD13+AD14+AD15</f>
        <v>11159802</v>
      </c>
      <c r="AE10" s="5">
        <f t="shared" si="10"/>
        <v>4262960</v>
      </c>
      <c r="AF10" s="5">
        <f t="shared" si="10"/>
        <v>11712705</v>
      </c>
      <c r="AG10" s="73">
        <f t="shared" si="10"/>
        <v>27135467</v>
      </c>
      <c r="AH10" s="5">
        <f t="shared" si="10"/>
        <v>10520000</v>
      </c>
      <c r="AI10" s="5">
        <f t="shared" si="10"/>
        <v>0</v>
      </c>
      <c r="AJ10" s="5">
        <f t="shared" si="10"/>
        <v>0</v>
      </c>
      <c r="AK10" s="73">
        <f t="shared" si="10"/>
        <v>10520000</v>
      </c>
      <c r="AL10" s="80">
        <f t="shared" si="10"/>
        <v>37655467</v>
      </c>
      <c r="AM10" s="5">
        <f t="shared" si="10"/>
        <v>11826190</v>
      </c>
      <c r="AN10" s="5">
        <f t="shared" si="10"/>
        <v>4262960</v>
      </c>
      <c r="AO10" s="5">
        <f t="shared" si="10"/>
        <v>11712705</v>
      </c>
      <c r="AP10" s="73">
        <f>AM10+AN10+AO10</f>
        <v>27801855</v>
      </c>
      <c r="AQ10" s="5">
        <f t="shared" si="10"/>
        <v>12750000</v>
      </c>
      <c r="AR10" s="5">
        <f t="shared" si="10"/>
        <v>0</v>
      </c>
      <c r="AS10" s="5">
        <f t="shared" si="10"/>
        <v>0</v>
      </c>
      <c r="AT10" s="73">
        <f t="shared" si="10"/>
        <v>12750000</v>
      </c>
      <c r="AU10" s="80">
        <f t="shared" si="0"/>
        <v>40551855</v>
      </c>
      <c r="AV10" s="5">
        <f>AV11+AV12+AV13+AV14+AV15</f>
        <v>12341758</v>
      </c>
      <c r="AW10" s="5">
        <f>AW11+AW12+AW13+AW14+AW15</f>
        <v>4262960</v>
      </c>
      <c r="AX10" s="5">
        <f>AX11+AX12+AX13+AX14+AX15</f>
        <v>11712705</v>
      </c>
      <c r="AY10" s="73">
        <f>AV10+AW10+AX10</f>
        <v>28317423</v>
      </c>
      <c r="AZ10" s="5">
        <f>AZ11+AZ12+AZ13+AZ14+AZ15</f>
        <v>8687000</v>
      </c>
      <c r="BA10" s="5">
        <f>BA11+BA12+BA13+BA14+BA15</f>
        <v>0</v>
      </c>
      <c r="BB10" s="5">
        <f>BB11+BB12+BB13+BB14+BB15</f>
        <v>0</v>
      </c>
      <c r="BC10" s="73">
        <f t="shared" si="6"/>
        <v>8687000</v>
      </c>
      <c r="BD10" s="80">
        <f t="shared" si="7"/>
        <v>37004423</v>
      </c>
    </row>
    <row r="11" spans="1:57" ht="16.5" customHeight="1" thickBot="1" x14ac:dyDescent="0.3">
      <c r="A11" s="88" t="s">
        <v>16</v>
      </c>
      <c r="B11" s="8" t="s">
        <v>15</v>
      </c>
      <c r="C11" s="31">
        <v>2999419</v>
      </c>
      <c r="D11" s="31">
        <v>2184306.7710000002</v>
      </c>
      <c r="E11" s="31">
        <v>75000</v>
      </c>
      <c r="F11" s="144">
        <f>SUM(C11:E11)</f>
        <v>5258725.7709999997</v>
      </c>
      <c r="G11" s="31">
        <v>308619.21600000001</v>
      </c>
      <c r="H11" s="167">
        <v>0</v>
      </c>
      <c r="I11" s="168">
        <v>0</v>
      </c>
      <c r="J11" s="144">
        <f>G11+H11</f>
        <v>308619.21600000001</v>
      </c>
      <c r="K11" s="146">
        <f t="shared" ref="K11:K42" si="11">F11+J11</f>
        <v>5567344.9869999997</v>
      </c>
      <c r="L11" s="140">
        <v>1493544.5560000001</v>
      </c>
      <c r="M11" s="140">
        <v>2271248.5739999996</v>
      </c>
      <c r="N11" s="140">
        <v>139400</v>
      </c>
      <c r="O11" s="145">
        <f t="shared" si="1"/>
        <v>3904193.13</v>
      </c>
      <c r="P11" s="30">
        <v>0</v>
      </c>
      <c r="Q11" s="30">
        <v>0</v>
      </c>
      <c r="R11" s="30">
        <v>0</v>
      </c>
      <c r="S11" s="144">
        <f t="shared" si="2"/>
        <v>0</v>
      </c>
      <c r="T11" s="146">
        <f t="shared" si="3"/>
        <v>3904193.13</v>
      </c>
      <c r="U11" s="7">
        <v>861591</v>
      </c>
      <c r="V11" s="7">
        <v>3671174</v>
      </c>
      <c r="W11" s="7">
        <v>0</v>
      </c>
      <c r="X11" s="74">
        <f>SUM(U11:W11)</f>
        <v>4532765</v>
      </c>
      <c r="Y11" s="7">
        <v>0</v>
      </c>
      <c r="Z11" s="7">
        <v>0</v>
      </c>
      <c r="AA11" s="7">
        <v>0</v>
      </c>
      <c r="AB11" s="74">
        <f t="shared" ref="AB11:AB15" si="12">Y11+Z11+AA11</f>
        <v>0</v>
      </c>
      <c r="AC11" s="80">
        <f t="shared" ref="AC11:AC19" si="13">X11+AB11</f>
        <v>4532765</v>
      </c>
      <c r="AD11" s="7">
        <v>1436019</v>
      </c>
      <c r="AE11" s="7">
        <v>3188930</v>
      </c>
      <c r="AF11" s="7">
        <v>0</v>
      </c>
      <c r="AG11" s="74">
        <f>SUM(AD11:AF11)</f>
        <v>4624949</v>
      </c>
      <c r="AH11" s="7">
        <v>0</v>
      </c>
      <c r="AI11" s="7">
        <v>0</v>
      </c>
      <c r="AJ11" s="7">
        <v>0</v>
      </c>
      <c r="AK11" s="74">
        <f t="shared" si="4"/>
        <v>0</v>
      </c>
      <c r="AL11" s="80">
        <f t="shared" si="5"/>
        <v>4624949</v>
      </c>
      <c r="AM11" s="7">
        <v>1549146</v>
      </c>
      <c r="AN11" s="7">
        <v>3188930</v>
      </c>
      <c r="AO11" s="7">
        <v>0</v>
      </c>
      <c r="AP11" s="74">
        <f>AM11+AN11+AO11</f>
        <v>4738076</v>
      </c>
      <c r="AQ11" s="7">
        <v>0</v>
      </c>
      <c r="AR11" s="7">
        <v>0</v>
      </c>
      <c r="AS11" s="7">
        <v>0</v>
      </c>
      <c r="AT11" s="74">
        <f t="shared" ref="AT11:AT16" si="14">AQ11+AR11+AS11</f>
        <v>0</v>
      </c>
      <c r="AU11" s="97">
        <f t="shared" si="0"/>
        <v>4738076</v>
      </c>
      <c r="AV11" s="7">
        <v>1636669</v>
      </c>
      <c r="AW11" s="7">
        <v>3188930</v>
      </c>
      <c r="AX11" s="7">
        <v>0</v>
      </c>
      <c r="AY11" s="98">
        <f t="shared" ref="AY11:AY71" si="15">AV11+AW11+AX11</f>
        <v>4825599</v>
      </c>
      <c r="AZ11" s="7">
        <v>0</v>
      </c>
      <c r="BA11" s="7">
        <v>0</v>
      </c>
      <c r="BB11" s="7">
        <v>0</v>
      </c>
      <c r="BC11" s="98">
        <f t="shared" si="6"/>
        <v>0</v>
      </c>
      <c r="BD11" s="97">
        <f t="shared" si="7"/>
        <v>4825599</v>
      </c>
    </row>
    <row r="12" spans="1:57" ht="16.5" customHeight="1" thickBot="1" x14ac:dyDescent="0.3">
      <c r="A12" s="88" t="s">
        <v>18</v>
      </c>
      <c r="B12" s="8" t="s">
        <v>17</v>
      </c>
      <c r="C12" s="32">
        <v>416252</v>
      </c>
      <c r="D12" s="31">
        <v>165575.98300000001</v>
      </c>
      <c r="E12" s="31">
        <v>85848.33</v>
      </c>
      <c r="F12" s="144">
        <f>SUM(C12:E12)</f>
        <v>667676.31299999997</v>
      </c>
      <c r="G12" s="31">
        <v>0</v>
      </c>
      <c r="H12" s="167">
        <v>0</v>
      </c>
      <c r="I12" s="168">
        <v>0</v>
      </c>
      <c r="J12" s="144">
        <f t="shared" ref="J12:J15" si="16">G12+H12</f>
        <v>0</v>
      </c>
      <c r="K12" s="146">
        <f t="shared" si="11"/>
        <v>667676.31299999997</v>
      </c>
      <c r="L12" s="140">
        <v>635275.58100000001</v>
      </c>
      <c r="M12" s="140">
        <v>165358.79999999999</v>
      </c>
      <c r="N12" s="140">
        <v>0</v>
      </c>
      <c r="O12" s="145">
        <f t="shared" si="1"/>
        <v>800634.38100000005</v>
      </c>
      <c r="P12" s="30">
        <v>0</v>
      </c>
      <c r="Q12" s="30">
        <v>0</v>
      </c>
      <c r="R12" s="30">
        <v>0</v>
      </c>
      <c r="S12" s="144">
        <f t="shared" si="2"/>
        <v>0</v>
      </c>
      <c r="T12" s="146">
        <f t="shared" si="3"/>
        <v>800634.38100000005</v>
      </c>
      <c r="U12" s="7">
        <v>363850</v>
      </c>
      <c r="V12" s="7">
        <v>225525</v>
      </c>
      <c r="W12" s="7">
        <v>0</v>
      </c>
      <c r="X12" s="74">
        <f>SUM(U12:W12)</f>
        <v>589375</v>
      </c>
      <c r="Y12" s="7">
        <v>0</v>
      </c>
      <c r="Z12" s="7">
        <v>0</v>
      </c>
      <c r="AA12" s="7">
        <v>0</v>
      </c>
      <c r="AB12" s="74">
        <f t="shared" si="12"/>
        <v>0</v>
      </c>
      <c r="AC12" s="80">
        <f t="shared" si="13"/>
        <v>589375</v>
      </c>
      <c r="AD12" s="7">
        <v>985306</v>
      </c>
      <c r="AE12" s="7">
        <v>225525</v>
      </c>
      <c r="AF12" s="7">
        <v>0</v>
      </c>
      <c r="AG12" s="74">
        <f>SUM(AD12:AF12)</f>
        <v>1210831</v>
      </c>
      <c r="AH12" s="7">
        <v>0</v>
      </c>
      <c r="AI12" s="7">
        <v>0</v>
      </c>
      <c r="AJ12" s="7">
        <v>0</v>
      </c>
      <c r="AK12" s="74">
        <f t="shared" si="4"/>
        <v>0</v>
      </c>
      <c r="AL12" s="80">
        <f t="shared" si="5"/>
        <v>1210831</v>
      </c>
      <c r="AM12" s="7">
        <v>1046850</v>
      </c>
      <c r="AN12" s="7">
        <v>225525</v>
      </c>
      <c r="AO12" s="7">
        <v>0</v>
      </c>
      <c r="AP12" s="74">
        <f>SUM(AM12:AO12)</f>
        <v>1272375</v>
      </c>
      <c r="AQ12" s="7">
        <v>0</v>
      </c>
      <c r="AR12" s="7">
        <v>0</v>
      </c>
      <c r="AS12" s="7">
        <v>0</v>
      </c>
      <c r="AT12" s="74">
        <f t="shared" si="14"/>
        <v>0</v>
      </c>
      <c r="AU12" s="97">
        <f t="shared" si="0"/>
        <v>1272375</v>
      </c>
      <c r="AV12" s="7">
        <v>1094464</v>
      </c>
      <c r="AW12" s="7">
        <v>225525</v>
      </c>
      <c r="AX12" s="7">
        <v>0</v>
      </c>
      <c r="AY12" s="98">
        <f t="shared" si="15"/>
        <v>1319989</v>
      </c>
      <c r="AZ12" s="7">
        <v>0</v>
      </c>
      <c r="BA12" s="7">
        <v>0</v>
      </c>
      <c r="BB12" s="7">
        <v>0</v>
      </c>
      <c r="BC12" s="98">
        <f t="shared" si="6"/>
        <v>0</v>
      </c>
      <c r="BD12" s="97">
        <f t="shared" si="7"/>
        <v>1319989</v>
      </c>
    </row>
    <row r="13" spans="1:57" ht="16.5" customHeight="1" thickBot="1" x14ac:dyDescent="0.3">
      <c r="A13" s="88" t="s">
        <v>20</v>
      </c>
      <c r="B13" s="8" t="s">
        <v>19</v>
      </c>
      <c r="C13" s="32">
        <v>3754472</v>
      </c>
      <c r="D13" s="31">
        <v>77725.826000000001</v>
      </c>
      <c r="E13" s="31">
        <v>2236295.5299999998</v>
      </c>
      <c r="F13" s="144">
        <f>SUM(C13:E13)</f>
        <v>6068493.3559999997</v>
      </c>
      <c r="G13" s="31">
        <v>4128615</v>
      </c>
      <c r="H13" s="167">
        <v>0</v>
      </c>
      <c r="I13" s="168">
        <v>0</v>
      </c>
      <c r="J13" s="144">
        <f t="shared" si="16"/>
        <v>4128615</v>
      </c>
      <c r="K13" s="146">
        <f t="shared" si="11"/>
        <v>10197108.355999999</v>
      </c>
      <c r="L13" s="140">
        <v>6463230.2550000008</v>
      </c>
      <c r="M13" s="140">
        <v>73490.000000000015</v>
      </c>
      <c r="N13" s="140">
        <v>2251333</v>
      </c>
      <c r="O13" s="145">
        <f t="shared" si="1"/>
        <v>8788053.2550000008</v>
      </c>
      <c r="P13" s="140">
        <v>3400000</v>
      </c>
      <c r="Q13" s="30">
        <v>0</v>
      </c>
      <c r="R13" s="30">
        <v>0</v>
      </c>
      <c r="S13" s="144">
        <f t="shared" si="2"/>
        <v>3400000</v>
      </c>
      <c r="T13" s="146">
        <f t="shared" si="3"/>
        <v>12188053.255000001</v>
      </c>
      <c r="U13" s="7">
        <v>9056948</v>
      </c>
      <c r="V13" s="7">
        <v>718505</v>
      </c>
      <c r="W13" s="7">
        <v>3167841</v>
      </c>
      <c r="X13" s="74">
        <f>SUM(U13:W13)</f>
        <v>12943294</v>
      </c>
      <c r="Y13" s="7">
        <v>10780000</v>
      </c>
      <c r="Z13" s="7">
        <v>0</v>
      </c>
      <c r="AA13" s="7">
        <v>0</v>
      </c>
      <c r="AB13" s="74">
        <f t="shared" si="12"/>
        <v>10780000</v>
      </c>
      <c r="AC13" s="80">
        <f t="shared" si="13"/>
        <v>23723294</v>
      </c>
      <c r="AD13" s="7">
        <v>8512436</v>
      </c>
      <c r="AE13" s="7">
        <v>718505</v>
      </c>
      <c r="AF13" s="7">
        <v>4471565</v>
      </c>
      <c r="AG13" s="74">
        <f>SUM(AD13:AF13)</f>
        <v>13702506</v>
      </c>
      <c r="AH13" s="7">
        <v>9520000</v>
      </c>
      <c r="AI13" s="7">
        <v>0</v>
      </c>
      <c r="AJ13" s="7">
        <v>0</v>
      </c>
      <c r="AK13" s="74">
        <f t="shared" si="4"/>
        <v>9520000</v>
      </c>
      <c r="AL13" s="80">
        <f t="shared" si="5"/>
        <v>23222506</v>
      </c>
      <c r="AM13" s="7">
        <v>8987910</v>
      </c>
      <c r="AN13" s="7">
        <v>718505</v>
      </c>
      <c r="AO13" s="7">
        <v>4471565</v>
      </c>
      <c r="AP13" s="74">
        <f>SUM(AM13:AO13)</f>
        <v>14177980</v>
      </c>
      <c r="AQ13" s="7">
        <v>11750000</v>
      </c>
      <c r="AR13" s="7">
        <v>0</v>
      </c>
      <c r="AS13" s="7">
        <v>0</v>
      </c>
      <c r="AT13" s="74">
        <f t="shared" si="14"/>
        <v>11750000</v>
      </c>
      <c r="AU13" s="97">
        <f t="shared" si="0"/>
        <v>25927980</v>
      </c>
      <c r="AV13" s="7">
        <v>9355775</v>
      </c>
      <c r="AW13" s="7">
        <v>718505</v>
      </c>
      <c r="AX13" s="7">
        <v>4471565</v>
      </c>
      <c r="AY13" s="98">
        <f t="shared" si="15"/>
        <v>14545845</v>
      </c>
      <c r="AZ13" s="7">
        <v>7687000</v>
      </c>
      <c r="BA13" s="7">
        <v>0</v>
      </c>
      <c r="BB13" s="7">
        <v>0</v>
      </c>
      <c r="BC13" s="98">
        <f t="shared" si="6"/>
        <v>7687000</v>
      </c>
      <c r="BD13" s="97">
        <f t="shared" si="7"/>
        <v>22232845</v>
      </c>
    </row>
    <row r="14" spans="1:57" ht="16.5" customHeight="1" thickBot="1" x14ac:dyDescent="0.3">
      <c r="A14" s="88" t="s">
        <v>135</v>
      </c>
      <c r="B14" s="8" t="s">
        <v>21</v>
      </c>
      <c r="C14" s="33">
        <v>47427</v>
      </c>
      <c r="D14" s="31">
        <v>0</v>
      </c>
      <c r="E14" s="31">
        <v>8352573.7069999995</v>
      </c>
      <c r="F14" s="144">
        <f>SUM(C14:E14)</f>
        <v>8400000.7069999985</v>
      </c>
      <c r="G14" s="101">
        <v>753952</v>
      </c>
      <c r="H14" s="167">
        <v>0</v>
      </c>
      <c r="I14" s="168">
        <v>0</v>
      </c>
      <c r="J14" s="144">
        <f t="shared" si="16"/>
        <v>753952</v>
      </c>
      <c r="K14" s="146">
        <f t="shared" si="11"/>
        <v>9153952.7069999985</v>
      </c>
      <c r="L14" s="30">
        <v>0</v>
      </c>
      <c r="M14" s="140">
        <v>0</v>
      </c>
      <c r="N14" s="140">
        <v>8626917.0710000005</v>
      </c>
      <c r="O14" s="145">
        <f>L14+M14+N14</f>
        <v>8626917.0710000005</v>
      </c>
      <c r="P14" s="140">
        <v>1000000</v>
      </c>
      <c r="Q14" s="30">
        <v>0</v>
      </c>
      <c r="R14" s="30">
        <v>0</v>
      </c>
      <c r="S14" s="145">
        <f t="shared" si="2"/>
        <v>1000000</v>
      </c>
      <c r="T14" s="146">
        <f t="shared" si="3"/>
        <v>9626917.0710000005</v>
      </c>
      <c r="U14" s="7">
        <v>0</v>
      </c>
      <c r="V14" s="7">
        <v>0</v>
      </c>
      <c r="W14" s="7">
        <v>7000000</v>
      </c>
      <c r="X14" s="74">
        <f>SUM(U14:W14)</f>
        <v>7000000</v>
      </c>
      <c r="Y14" s="7">
        <v>1000000</v>
      </c>
      <c r="Z14" s="7">
        <v>0</v>
      </c>
      <c r="AA14" s="7">
        <v>0</v>
      </c>
      <c r="AB14" s="74">
        <f t="shared" si="12"/>
        <v>1000000</v>
      </c>
      <c r="AC14" s="80">
        <f t="shared" si="13"/>
        <v>8000000</v>
      </c>
      <c r="AD14" s="7">
        <v>0</v>
      </c>
      <c r="AE14" s="7">
        <v>0</v>
      </c>
      <c r="AF14" s="7">
        <v>7000000</v>
      </c>
      <c r="AG14" s="74">
        <f>SUM(AD14:AF14)</f>
        <v>7000000</v>
      </c>
      <c r="AH14" s="7">
        <v>1000000</v>
      </c>
      <c r="AI14" s="7">
        <v>0</v>
      </c>
      <c r="AJ14" s="7">
        <v>0</v>
      </c>
      <c r="AK14" s="74">
        <f t="shared" si="4"/>
        <v>1000000</v>
      </c>
      <c r="AL14" s="80">
        <f t="shared" si="5"/>
        <v>8000000</v>
      </c>
      <c r="AM14" s="7">
        <v>0</v>
      </c>
      <c r="AN14" s="7">
        <v>0</v>
      </c>
      <c r="AO14" s="7">
        <v>7000000</v>
      </c>
      <c r="AP14" s="74">
        <f>'Classif Prog-Admin-Eco'!AZ117</f>
        <v>24300000</v>
      </c>
      <c r="AQ14" s="7">
        <v>1000000</v>
      </c>
      <c r="AR14" s="7">
        <v>0</v>
      </c>
      <c r="AS14" s="7">
        <v>0</v>
      </c>
      <c r="AT14" s="74">
        <f t="shared" si="14"/>
        <v>1000000</v>
      </c>
      <c r="AU14" s="97">
        <f t="shared" si="0"/>
        <v>25300000</v>
      </c>
      <c r="AV14" s="7">
        <v>0</v>
      </c>
      <c r="AW14" s="7">
        <v>0</v>
      </c>
      <c r="AX14" s="7">
        <v>7000000</v>
      </c>
      <c r="AY14" s="98">
        <f t="shared" si="15"/>
        <v>7000000</v>
      </c>
      <c r="AZ14" s="7">
        <v>1000000</v>
      </c>
      <c r="BA14" s="7">
        <v>0</v>
      </c>
      <c r="BB14" s="7">
        <v>0</v>
      </c>
      <c r="BC14" s="98">
        <f t="shared" si="6"/>
        <v>1000000</v>
      </c>
      <c r="BD14" s="97">
        <f t="shared" si="7"/>
        <v>8000000</v>
      </c>
    </row>
    <row r="15" spans="1:57" ht="17.25" thickBot="1" x14ac:dyDescent="0.3">
      <c r="A15" s="89" t="s">
        <v>22</v>
      </c>
      <c r="B15" s="8" t="s">
        <v>252</v>
      </c>
      <c r="C15" s="32">
        <v>66620</v>
      </c>
      <c r="D15" s="31">
        <v>37916.915000000001</v>
      </c>
      <c r="E15" s="31">
        <v>161140</v>
      </c>
      <c r="F15" s="144">
        <f>SUM(C15:E15)</f>
        <v>265676.91500000004</v>
      </c>
      <c r="G15" s="100">
        <v>85000</v>
      </c>
      <c r="H15" s="167">
        <v>0</v>
      </c>
      <c r="I15" s="168">
        <v>0</v>
      </c>
      <c r="J15" s="144">
        <f t="shared" si="16"/>
        <v>85000</v>
      </c>
      <c r="K15" s="146">
        <f t="shared" si="11"/>
        <v>350676.91500000004</v>
      </c>
      <c r="L15" s="140">
        <v>343593.40300000005</v>
      </c>
      <c r="M15" s="140">
        <v>32500</v>
      </c>
      <c r="N15" s="140">
        <v>211140</v>
      </c>
      <c r="O15" s="145">
        <f>L15+M15+N15</f>
        <v>587233.40300000005</v>
      </c>
      <c r="P15" s="30">
        <v>0</v>
      </c>
      <c r="Q15" s="30">
        <v>0</v>
      </c>
      <c r="R15" s="30">
        <v>0</v>
      </c>
      <c r="S15" s="144">
        <f t="shared" si="2"/>
        <v>0</v>
      </c>
      <c r="T15" s="146">
        <f t="shared" si="3"/>
        <v>587233.40300000005</v>
      </c>
      <c r="U15" s="7">
        <v>75481</v>
      </c>
      <c r="V15" s="7">
        <v>81480</v>
      </c>
      <c r="W15" s="7">
        <v>211140</v>
      </c>
      <c r="X15" s="74">
        <f>SUM(U15:W15)</f>
        <v>368101</v>
      </c>
      <c r="Y15" s="7">
        <v>0</v>
      </c>
      <c r="Z15" s="7">
        <v>0</v>
      </c>
      <c r="AA15" s="7">
        <v>0</v>
      </c>
      <c r="AB15" s="74">
        <f t="shared" si="12"/>
        <v>0</v>
      </c>
      <c r="AC15" s="80">
        <f t="shared" si="13"/>
        <v>368101</v>
      </c>
      <c r="AD15" s="7">
        <v>226041</v>
      </c>
      <c r="AE15" s="7">
        <v>130000</v>
      </c>
      <c r="AF15" s="7">
        <v>241140</v>
      </c>
      <c r="AG15" s="74">
        <f>SUM(AD15:AF15)</f>
        <v>597181</v>
      </c>
      <c r="AH15" s="7">
        <v>0</v>
      </c>
      <c r="AI15" s="7">
        <v>0</v>
      </c>
      <c r="AJ15" s="7">
        <v>0</v>
      </c>
      <c r="AK15" s="74">
        <f t="shared" si="4"/>
        <v>0</v>
      </c>
      <c r="AL15" s="80">
        <f t="shared" si="5"/>
        <v>597181</v>
      </c>
      <c r="AM15" s="7">
        <v>242284</v>
      </c>
      <c r="AN15" s="7">
        <v>130000</v>
      </c>
      <c r="AO15" s="7">
        <v>241140</v>
      </c>
      <c r="AP15" s="74">
        <f>SUM(AM15:AO15)</f>
        <v>613424</v>
      </c>
      <c r="AQ15" s="7">
        <v>0</v>
      </c>
      <c r="AR15" s="7">
        <v>0</v>
      </c>
      <c r="AS15" s="7">
        <v>0</v>
      </c>
      <c r="AT15" s="74">
        <f t="shared" si="14"/>
        <v>0</v>
      </c>
      <c r="AU15" s="97">
        <f t="shared" si="0"/>
        <v>613424</v>
      </c>
      <c r="AV15" s="7">
        <v>254850</v>
      </c>
      <c r="AW15" s="7">
        <v>130000</v>
      </c>
      <c r="AX15" s="7">
        <v>241140</v>
      </c>
      <c r="AY15" s="98">
        <f t="shared" si="15"/>
        <v>625990</v>
      </c>
      <c r="AZ15" s="7">
        <v>0</v>
      </c>
      <c r="BA15" s="7">
        <v>0</v>
      </c>
      <c r="BB15" s="7">
        <v>0</v>
      </c>
      <c r="BC15" s="98">
        <f t="shared" si="6"/>
        <v>0</v>
      </c>
      <c r="BD15" s="97">
        <f t="shared" si="7"/>
        <v>625990</v>
      </c>
    </row>
    <row r="16" spans="1:57" ht="17.25" thickBot="1" x14ac:dyDescent="0.3">
      <c r="A16" s="171" t="s">
        <v>243</v>
      </c>
      <c r="B16" s="172"/>
      <c r="C16" s="141">
        <f>C17+C18+C19</f>
        <v>5874319</v>
      </c>
      <c r="D16" s="141">
        <f>D17+D18+D19</f>
        <v>4803526.3729999997</v>
      </c>
      <c r="E16" s="142">
        <f>E17+E18+E19</f>
        <v>50000</v>
      </c>
      <c r="F16" s="143">
        <f>C16+D16+E16</f>
        <v>10727845.373</v>
      </c>
      <c r="G16" s="142">
        <f>G17+G18+G19</f>
        <v>671345.42400000012</v>
      </c>
      <c r="H16" s="142">
        <f>H17+H18+H19</f>
        <v>0</v>
      </c>
      <c r="I16" s="142">
        <f>I17+I18+I19</f>
        <v>0</v>
      </c>
      <c r="J16" s="143">
        <f t="shared" ref="J16" si="17">G16+H16+I16</f>
        <v>671345.42400000012</v>
      </c>
      <c r="K16" s="146">
        <f t="shared" si="11"/>
        <v>11399190.797</v>
      </c>
      <c r="L16" s="141">
        <f>L17+L18+L19</f>
        <v>6431834.8949999996</v>
      </c>
      <c r="M16" s="141">
        <f>M17+M18+M19</f>
        <v>4793264.3650000002</v>
      </c>
      <c r="N16" s="141">
        <f>N17+N18+N19</f>
        <v>429750</v>
      </c>
      <c r="O16" s="143">
        <f t="shared" si="1"/>
        <v>11654849.26</v>
      </c>
      <c r="P16" s="141">
        <f>P17+P18+P19</f>
        <v>296885.00199999998</v>
      </c>
      <c r="Q16" s="141">
        <f t="shared" ref="Q16:R16" si="18">Q17+Q18+Q19</f>
        <v>0</v>
      </c>
      <c r="R16" s="141">
        <f t="shared" si="18"/>
        <v>0</v>
      </c>
      <c r="S16" s="157">
        <f t="shared" si="2"/>
        <v>296885.00199999998</v>
      </c>
      <c r="T16" s="146">
        <f>T17+T18+T19</f>
        <v>11951734.261999998</v>
      </c>
      <c r="U16" s="5">
        <f>U17+U18+U19</f>
        <v>8938365</v>
      </c>
      <c r="V16" s="5">
        <f>V17+V18+V19</f>
        <v>6073701</v>
      </c>
      <c r="W16" s="5">
        <f>W17+W18+W19</f>
        <v>100000</v>
      </c>
      <c r="X16" s="73">
        <f>U16+V16+W16</f>
        <v>15112066</v>
      </c>
      <c r="Y16" s="5">
        <f>Y17+Y18+Y19</f>
        <v>1000000</v>
      </c>
      <c r="Z16" s="5">
        <f>Z17+Z18+Z19</f>
        <v>0</v>
      </c>
      <c r="AA16" s="5">
        <f>AA17+AA18+AA19</f>
        <v>0</v>
      </c>
      <c r="AB16" s="73">
        <f>Y16+Z16+AA16</f>
        <v>1000000</v>
      </c>
      <c r="AC16" s="80">
        <f t="shared" si="13"/>
        <v>16112066</v>
      </c>
      <c r="AD16" s="5">
        <f>AD17+AD18+AD19</f>
        <v>11104021</v>
      </c>
      <c r="AE16" s="5">
        <f>AE17+AE18+AE19</f>
        <v>6073701</v>
      </c>
      <c r="AF16" s="5">
        <f>AF17+AF18+AF19</f>
        <v>100000</v>
      </c>
      <c r="AG16" s="73">
        <f>AD16+AE16+AF16</f>
        <v>17277722</v>
      </c>
      <c r="AH16" s="5">
        <f>AH17+AH18+AH19</f>
        <v>1900000</v>
      </c>
      <c r="AI16" s="5">
        <f>AI17+AI18+AI19</f>
        <v>0</v>
      </c>
      <c r="AJ16" s="5">
        <f>AJ17+AJ18+AJ19</f>
        <v>0</v>
      </c>
      <c r="AK16" s="73">
        <f>AH16+AI16+AJ16</f>
        <v>1900000</v>
      </c>
      <c r="AL16" s="80">
        <f>AG16+AK16</f>
        <v>19177722</v>
      </c>
      <c r="AM16" s="5">
        <f>AM17+AM18+AM19</f>
        <v>11797793</v>
      </c>
      <c r="AN16" s="5">
        <f>AN17+AN18+AN19</f>
        <v>6073701</v>
      </c>
      <c r="AO16" s="5">
        <f>AO17+AO18+AO19</f>
        <v>100000</v>
      </c>
      <c r="AP16" s="73">
        <f>AM16+AN16+AO16</f>
        <v>17971494</v>
      </c>
      <c r="AQ16" s="5">
        <f>AQ17+AQ18+AQ19</f>
        <v>900000</v>
      </c>
      <c r="AR16" s="5">
        <f>AR17+AR18+AR19</f>
        <v>0</v>
      </c>
      <c r="AS16" s="5">
        <f>AS17+AS18+AS19</f>
        <v>0</v>
      </c>
      <c r="AT16" s="73">
        <f t="shared" si="14"/>
        <v>900000</v>
      </c>
      <c r="AU16" s="80">
        <f t="shared" si="0"/>
        <v>18871494</v>
      </c>
      <c r="AV16" s="5">
        <f>AV17+AV18+AV19</f>
        <v>12543557</v>
      </c>
      <c r="AW16" s="5">
        <f>AW17+AW18+AW19</f>
        <v>6073701</v>
      </c>
      <c r="AX16" s="5">
        <f>AX17+AX18+AX19</f>
        <v>100000</v>
      </c>
      <c r="AY16" s="73">
        <f t="shared" si="15"/>
        <v>18717258</v>
      </c>
      <c r="AZ16" s="5">
        <f>AZ17+AZ18+AZ19</f>
        <v>900000</v>
      </c>
      <c r="BA16" s="5">
        <f>BA17+BA18+BA19</f>
        <v>0</v>
      </c>
      <c r="BB16" s="5">
        <f>BB17+BB18+BB19</f>
        <v>0</v>
      </c>
      <c r="BC16" s="73">
        <f t="shared" si="6"/>
        <v>900000</v>
      </c>
      <c r="BD16" s="80">
        <f t="shared" si="7"/>
        <v>19617258</v>
      </c>
    </row>
    <row r="17" spans="1:56" ht="17.25" thickBot="1" x14ac:dyDescent="0.3">
      <c r="A17" s="90" t="s">
        <v>23</v>
      </c>
      <c r="B17" s="6" t="s">
        <v>242</v>
      </c>
      <c r="C17" s="28">
        <v>866834</v>
      </c>
      <c r="D17" s="30">
        <v>1789514.7179999999</v>
      </c>
      <c r="E17" s="30">
        <v>0</v>
      </c>
      <c r="F17" s="144">
        <f>SUM(C17:E17)</f>
        <v>2656348.7179999999</v>
      </c>
      <c r="G17" s="30">
        <v>375975.83300000004</v>
      </c>
      <c r="H17" s="167">
        <v>0</v>
      </c>
      <c r="I17" s="168">
        <v>0</v>
      </c>
      <c r="J17" s="144">
        <f>G17+H17</f>
        <v>375975.83300000004</v>
      </c>
      <c r="K17" s="146">
        <f t="shared" si="11"/>
        <v>3032324.551</v>
      </c>
      <c r="L17" s="140">
        <v>1187308.585</v>
      </c>
      <c r="M17" s="140">
        <v>1812352.7430000002</v>
      </c>
      <c r="N17" s="140">
        <v>276000</v>
      </c>
      <c r="O17" s="145">
        <f t="shared" si="1"/>
        <v>3275661.3280000002</v>
      </c>
      <c r="P17" s="140">
        <v>85392.501999999993</v>
      </c>
      <c r="Q17" s="30">
        <v>0</v>
      </c>
      <c r="R17" s="30">
        <v>0</v>
      </c>
      <c r="S17" s="144">
        <f t="shared" si="2"/>
        <v>85392.501999999993</v>
      </c>
      <c r="T17" s="146">
        <f t="shared" si="3"/>
        <v>3361053.83</v>
      </c>
      <c r="U17" s="7">
        <v>1304124</v>
      </c>
      <c r="V17" s="7">
        <v>2849186</v>
      </c>
      <c r="W17" s="7">
        <v>0</v>
      </c>
      <c r="X17" s="74">
        <f>SUM(U17:W17)</f>
        <v>4153310</v>
      </c>
      <c r="Y17" s="7">
        <v>800000</v>
      </c>
      <c r="Z17" s="7">
        <v>0</v>
      </c>
      <c r="AA17" s="7">
        <v>0</v>
      </c>
      <c r="AB17" s="74">
        <f>SUM(Y17:AA17)</f>
        <v>800000</v>
      </c>
      <c r="AC17" s="80">
        <f t="shared" si="13"/>
        <v>4953310</v>
      </c>
      <c r="AD17" s="109">
        <v>1314463</v>
      </c>
      <c r="AE17" s="28">
        <v>2477486</v>
      </c>
      <c r="AF17" s="28">
        <v>0</v>
      </c>
      <c r="AG17" s="74">
        <f>SUM(AD17:AF17)</f>
        <v>3791949</v>
      </c>
      <c r="AH17" s="28">
        <v>1300000</v>
      </c>
      <c r="AI17" s="7">
        <v>0</v>
      </c>
      <c r="AJ17" s="7">
        <v>0</v>
      </c>
      <c r="AK17" s="74">
        <f>SUM(AH17:AJ17)</f>
        <v>1300000</v>
      </c>
      <c r="AL17" s="80">
        <f t="shared" si="5"/>
        <v>5091949</v>
      </c>
      <c r="AM17" s="7">
        <v>1314463</v>
      </c>
      <c r="AN17" s="7">
        <v>2477486</v>
      </c>
      <c r="AO17" s="7">
        <v>0</v>
      </c>
      <c r="AP17" s="74">
        <f>SUM(AM17:AO17)</f>
        <v>3791949</v>
      </c>
      <c r="AQ17" s="7">
        <v>300000</v>
      </c>
      <c r="AR17" s="7">
        <v>0</v>
      </c>
      <c r="AS17" s="7">
        <v>0</v>
      </c>
      <c r="AT17" s="74">
        <f>SUM(AQ17:AS17)</f>
        <v>300000</v>
      </c>
      <c r="AU17" s="80">
        <f t="shared" si="0"/>
        <v>4091949</v>
      </c>
      <c r="AV17" s="7">
        <v>1314463</v>
      </c>
      <c r="AW17" s="7">
        <v>2477486</v>
      </c>
      <c r="AX17" s="7">
        <v>0</v>
      </c>
      <c r="AY17" s="98">
        <f t="shared" si="15"/>
        <v>3791949</v>
      </c>
      <c r="AZ17" s="7">
        <v>300000</v>
      </c>
      <c r="BA17" s="7">
        <v>0</v>
      </c>
      <c r="BB17" s="7">
        <v>0</v>
      </c>
      <c r="BC17" s="98">
        <f t="shared" si="6"/>
        <v>300000</v>
      </c>
      <c r="BD17" s="80">
        <f t="shared" si="7"/>
        <v>4091949</v>
      </c>
    </row>
    <row r="18" spans="1:56" ht="17.25" thickBot="1" x14ac:dyDescent="0.3">
      <c r="A18" s="88" t="s">
        <v>24</v>
      </c>
      <c r="B18" s="6" t="s">
        <v>253</v>
      </c>
      <c r="C18" s="30">
        <v>212230</v>
      </c>
      <c r="D18" s="30">
        <v>312510.77299999999</v>
      </c>
      <c r="E18" s="30">
        <v>50000</v>
      </c>
      <c r="F18" s="144">
        <f>SUM(C18:E18)</f>
        <v>574740.77300000004</v>
      </c>
      <c r="G18" s="30">
        <v>0</v>
      </c>
      <c r="H18" s="167">
        <v>0</v>
      </c>
      <c r="I18" s="168">
        <v>0</v>
      </c>
      <c r="J18" s="144">
        <f t="shared" ref="J18:J19" si="19">G18+H18</f>
        <v>0</v>
      </c>
      <c r="K18" s="146">
        <f t="shared" si="11"/>
        <v>574740.77300000004</v>
      </c>
      <c r="L18" s="140">
        <v>1043208.1969999999</v>
      </c>
      <c r="M18" s="140">
        <v>287631.72700000001</v>
      </c>
      <c r="N18" s="140">
        <v>132500</v>
      </c>
      <c r="O18" s="145">
        <f t="shared" si="1"/>
        <v>1463339.9239999999</v>
      </c>
      <c r="P18" s="140">
        <v>0</v>
      </c>
      <c r="Q18" s="30">
        <v>0</v>
      </c>
      <c r="R18" s="30">
        <v>0</v>
      </c>
      <c r="S18" s="144">
        <f t="shared" si="2"/>
        <v>0</v>
      </c>
      <c r="T18" s="146">
        <f t="shared" si="3"/>
        <v>1463339.9239999999</v>
      </c>
      <c r="U18" s="7">
        <v>936265</v>
      </c>
      <c r="V18" s="7">
        <v>617500</v>
      </c>
      <c r="W18" s="7">
        <v>100000</v>
      </c>
      <c r="X18" s="74">
        <f>SUM(U18:W18)</f>
        <v>1653765</v>
      </c>
      <c r="Y18" s="7">
        <v>0</v>
      </c>
      <c r="Z18" s="7">
        <v>0</v>
      </c>
      <c r="AA18" s="7">
        <v>0</v>
      </c>
      <c r="AB18" s="74">
        <f>SUM(Y18:AA18)</f>
        <v>0</v>
      </c>
      <c r="AC18" s="80">
        <f t="shared" si="13"/>
        <v>1653765</v>
      </c>
      <c r="AD18" s="110">
        <v>1098265</v>
      </c>
      <c r="AE18" s="30">
        <v>606800</v>
      </c>
      <c r="AF18" s="30">
        <v>100000</v>
      </c>
      <c r="AG18" s="74">
        <f>SUM(AD18:AF18)</f>
        <v>1805065</v>
      </c>
      <c r="AH18" s="30"/>
      <c r="AI18" s="7">
        <v>0</v>
      </c>
      <c r="AJ18" s="7">
        <v>0</v>
      </c>
      <c r="AK18" s="74">
        <f>SUM(AH18:AJ18)</f>
        <v>0</v>
      </c>
      <c r="AL18" s="80">
        <f t="shared" si="5"/>
        <v>1805065</v>
      </c>
      <c r="AM18" s="7">
        <v>1098265</v>
      </c>
      <c r="AN18" s="7">
        <v>606800</v>
      </c>
      <c r="AO18" s="7">
        <v>100000</v>
      </c>
      <c r="AP18" s="74">
        <f>SUM(AM18:AO18)</f>
        <v>1805065</v>
      </c>
      <c r="AQ18" s="7">
        <v>0</v>
      </c>
      <c r="AR18" s="7">
        <v>0</v>
      </c>
      <c r="AS18" s="7">
        <v>0</v>
      </c>
      <c r="AT18" s="74">
        <f>SUM(AQ18:AS18)</f>
        <v>0</v>
      </c>
      <c r="AU18" s="80">
        <f t="shared" si="0"/>
        <v>1805065</v>
      </c>
      <c r="AV18" s="7">
        <v>1098265</v>
      </c>
      <c r="AW18" s="7">
        <v>606800</v>
      </c>
      <c r="AX18" s="7">
        <v>100000</v>
      </c>
      <c r="AY18" s="98">
        <f t="shared" si="15"/>
        <v>1805065</v>
      </c>
      <c r="AZ18" s="7">
        <v>0</v>
      </c>
      <c r="BA18" s="7">
        <v>0</v>
      </c>
      <c r="BB18" s="7">
        <v>0</v>
      </c>
      <c r="BC18" s="98">
        <f t="shared" si="6"/>
        <v>0</v>
      </c>
      <c r="BD18" s="80">
        <f t="shared" si="7"/>
        <v>1805065</v>
      </c>
    </row>
    <row r="19" spans="1:56" ht="17.25" thickBot="1" x14ac:dyDescent="0.3">
      <c r="A19" s="88" t="s">
        <v>240</v>
      </c>
      <c r="B19" s="6" t="s">
        <v>254</v>
      </c>
      <c r="C19" s="30">
        <v>4795255</v>
      </c>
      <c r="D19" s="30">
        <v>2701500.8819999998</v>
      </c>
      <c r="E19" s="30">
        <v>0</v>
      </c>
      <c r="F19" s="144">
        <f>SUM(C19:E19)</f>
        <v>7496755.8819999993</v>
      </c>
      <c r="G19" s="30">
        <v>295369.59100000001</v>
      </c>
      <c r="H19" s="167">
        <v>0</v>
      </c>
      <c r="I19" s="168">
        <v>0</v>
      </c>
      <c r="J19" s="144">
        <f t="shared" si="19"/>
        <v>295369.59100000001</v>
      </c>
      <c r="K19" s="146">
        <f t="shared" si="11"/>
        <v>7792125.4729999993</v>
      </c>
      <c r="L19" s="140">
        <v>4201318.1129999999</v>
      </c>
      <c r="M19" s="140">
        <v>2693279.895</v>
      </c>
      <c r="N19" s="140">
        <v>21250</v>
      </c>
      <c r="O19" s="145">
        <f t="shared" si="1"/>
        <v>6915848.0079999994</v>
      </c>
      <c r="P19" s="140">
        <v>211492.5</v>
      </c>
      <c r="Q19" s="30">
        <v>0</v>
      </c>
      <c r="R19" s="30">
        <v>0</v>
      </c>
      <c r="S19" s="144">
        <f t="shared" si="2"/>
        <v>211492.5</v>
      </c>
      <c r="T19" s="146">
        <f t="shared" si="3"/>
        <v>7127340.5079999994</v>
      </c>
      <c r="U19" s="7">
        <v>6697976</v>
      </c>
      <c r="V19" s="7">
        <v>2607015</v>
      </c>
      <c r="W19" s="7">
        <v>0</v>
      </c>
      <c r="X19" s="74">
        <f>SUM(U19:W19)</f>
        <v>9304991</v>
      </c>
      <c r="Y19" s="7">
        <v>200000</v>
      </c>
      <c r="Z19" s="7">
        <v>0</v>
      </c>
      <c r="AA19" s="7">
        <v>0</v>
      </c>
      <c r="AB19" s="74">
        <f>SUM(Y19:AA19)</f>
        <v>200000</v>
      </c>
      <c r="AC19" s="80">
        <f t="shared" si="13"/>
        <v>9504991</v>
      </c>
      <c r="AD19" s="110">
        <v>8691293</v>
      </c>
      <c r="AE19" s="35">
        <v>2989415</v>
      </c>
      <c r="AF19" s="30">
        <v>0</v>
      </c>
      <c r="AG19" s="74">
        <f>SUM(AD19:AF19)</f>
        <v>11680708</v>
      </c>
      <c r="AH19" s="30">
        <v>600000</v>
      </c>
      <c r="AI19" s="7">
        <v>0</v>
      </c>
      <c r="AJ19" s="7">
        <v>0</v>
      </c>
      <c r="AK19" s="74">
        <f>SUM(AH19:AJ19)</f>
        <v>600000</v>
      </c>
      <c r="AL19" s="80">
        <f t="shared" si="5"/>
        <v>12280708</v>
      </c>
      <c r="AM19" s="7">
        <v>9385065</v>
      </c>
      <c r="AN19" s="7">
        <v>2989415</v>
      </c>
      <c r="AO19" s="7">
        <v>0</v>
      </c>
      <c r="AP19" s="74">
        <f>SUM(AM19:AO19)</f>
        <v>12374480</v>
      </c>
      <c r="AQ19" s="7">
        <v>600000</v>
      </c>
      <c r="AR19" s="7">
        <v>0</v>
      </c>
      <c r="AS19" s="7">
        <v>0</v>
      </c>
      <c r="AT19" s="74">
        <f>SUM(AQ19:AS19)</f>
        <v>600000</v>
      </c>
      <c r="AU19" s="80">
        <f t="shared" si="0"/>
        <v>12974480</v>
      </c>
      <c r="AV19" s="7">
        <v>10130829</v>
      </c>
      <c r="AW19" s="7">
        <v>2989415</v>
      </c>
      <c r="AX19" s="7">
        <v>0</v>
      </c>
      <c r="AY19" s="98">
        <f t="shared" si="15"/>
        <v>13120244</v>
      </c>
      <c r="AZ19" s="7">
        <v>600000</v>
      </c>
      <c r="BA19" s="7">
        <v>0</v>
      </c>
      <c r="BB19" s="7">
        <v>0</v>
      </c>
      <c r="BC19" s="98">
        <f t="shared" si="6"/>
        <v>600000</v>
      </c>
      <c r="BD19" s="80">
        <f t="shared" si="7"/>
        <v>13720244</v>
      </c>
    </row>
    <row r="20" spans="1:56" ht="17.25" thickBot="1" x14ac:dyDescent="0.3">
      <c r="A20" s="178" t="s">
        <v>25</v>
      </c>
      <c r="B20" s="179"/>
      <c r="C20" s="141">
        <f>C21+C22+C23+C24+C25+C26+C27+C28</f>
        <v>12620789</v>
      </c>
      <c r="D20" s="141">
        <f>D21+D22+D23+D24+D25+D26+D27+D28</f>
        <v>5046007.943</v>
      </c>
      <c r="E20" s="142">
        <f>E21+E22+E23+E24+E25+E26+E27+E28</f>
        <v>94055642</v>
      </c>
      <c r="F20" s="143">
        <f>C20+D20+E20</f>
        <v>111722438.943</v>
      </c>
      <c r="G20" s="153">
        <f>G21+G22+G23+G24+G25+G26+G27+G28</f>
        <v>1145464.182</v>
      </c>
      <c r="H20" s="142">
        <f>H21+H22+H23+H24+H25+H26+H27+H28</f>
        <v>0</v>
      </c>
      <c r="I20" s="142">
        <f>I21+I22+I23+I24+I25+I26+I27+I28</f>
        <v>0</v>
      </c>
      <c r="J20" s="143">
        <f t="shared" ref="J20:J29" si="20">G20+H20+I20</f>
        <v>1145464.182</v>
      </c>
      <c r="K20" s="146">
        <f>K21+K22+K23+K24+K25+K26+K27+K28</f>
        <v>113875013.125</v>
      </c>
      <c r="L20" s="141">
        <f>L21+L22+L23+L24+L25+L26+L27+L28</f>
        <v>21406071.952000003</v>
      </c>
      <c r="M20" s="141">
        <f>M21+M22+M23+M24+M25+M26+M27+M28</f>
        <v>5227382.5760000004</v>
      </c>
      <c r="N20" s="141">
        <f>N21+N22+N23+N24+N25+N26+N27+N28</f>
        <v>98851725.932999998</v>
      </c>
      <c r="O20" s="143">
        <f t="shared" si="1"/>
        <v>125485180.461</v>
      </c>
      <c r="P20" s="141">
        <f>P21+P22+P23+P24+P25+P26+P27+P28</f>
        <v>2408049.4929999998</v>
      </c>
      <c r="Q20" s="141">
        <f>Q21+Q22+Q23+Q24+Q25+Q26+Q27+Q28</f>
        <v>0</v>
      </c>
      <c r="R20" s="141">
        <f>R21+R22+R23+R24+R25+R26+R27+R28</f>
        <v>0</v>
      </c>
      <c r="S20" s="157">
        <f t="shared" si="2"/>
        <v>2408049.4929999998</v>
      </c>
      <c r="T20" s="146">
        <f>T21+T22+T23+T24+T25+T26+T27+T28</f>
        <v>131829208.704</v>
      </c>
      <c r="U20" s="65">
        <f t="shared" ref="U20:AC20" si="21">U21+U22+U23+U24+U25+U26+U27+U28</f>
        <v>23708732</v>
      </c>
      <c r="V20" s="65">
        <f t="shared" si="21"/>
        <v>15175673</v>
      </c>
      <c r="W20" s="65">
        <f t="shared" si="21"/>
        <v>117689974</v>
      </c>
      <c r="X20" s="73">
        <f t="shared" si="21"/>
        <v>156574379</v>
      </c>
      <c r="Y20" s="5">
        <f t="shared" si="21"/>
        <v>7400000</v>
      </c>
      <c r="Z20" s="5">
        <f t="shared" si="21"/>
        <v>0</v>
      </c>
      <c r="AA20" s="5">
        <f t="shared" si="21"/>
        <v>0</v>
      </c>
      <c r="AB20" s="73">
        <f t="shared" si="21"/>
        <v>7400000</v>
      </c>
      <c r="AC20" s="80">
        <f t="shared" si="21"/>
        <v>163974379</v>
      </c>
      <c r="AD20" s="65">
        <f t="shared" ref="AD20:AT20" si="22">AD21+AD22+AD23+AD24+AD25+AD26+AD27+AD28</f>
        <v>23094613</v>
      </c>
      <c r="AE20" s="65">
        <f t="shared" si="22"/>
        <v>15625672.991999999</v>
      </c>
      <c r="AF20" s="65">
        <f t="shared" si="22"/>
        <v>117989974</v>
      </c>
      <c r="AG20" s="73">
        <f t="shared" si="22"/>
        <v>156710259.99199998</v>
      </c>
      <c r="AH20" s="5">
        <f t="shared" si="22"/>
        <v>7700000</v>
      </c>
      <c r="AI20" s="5">
        <f t="shared" si="22"/>
        <v>577027</v>
      </c>
      <c r="AJ20" s="5">
        <f t="shared" si="22"/>
        <v>3000000</v>
      </c>
      <c r="AK20" s="73">
        <f t="shared" si="22"/>
        <v>11277027</v>
      </c>
      <c r="AL20" s="80">
        <f t="shared" si="22"/>
        <v>167987286.99199998</v>
      </c>
      <c r="AM20" s="5">
        <f>AM21+AM22+AM23+AM24+AM25+AM26</f>
        <v>24812048</v>
      </c>
      <c r="AN20" s="5">
        <f>AN21+AN22+AN23+AN24+AN25+AN26+AN27+AN28</f>
        <v>15625673</v>
      </c>
      <c r="AO20" s="5">
        <f>AO21+AO22+AO23+AO24+AO25+AO26+AO27+AO28</f>
        <v>143389974</v>
      </c>
      <c r="AP20" s="73">
        <f t="shared" si="22"/>
        <v>183827695</v>
      </c>
      <c r="AQ20" s="5">
        <f t="shared" si="22"/>
        <v>23700000</v>
      </c>
      <c r="AR20" s="5">
        <f t="shared" si="22"/>
        <v>577027</v>
      </c>
      <c r="AS20" s="5">
        <f t="shared" si="22"/>
        <v>3000000</v>
      </c>
      <c r="AT20" s="73">
        <f t="shared" si="22"/>
        <v>27277027</v>
      </c>
      <c r="AU20" s="80">
        <f t="shared" si="0"/>
        <v>211104722</v>
      </c>
      <c r="AV20" s="5">
        <f>AV21+AV22+AV23+AV24+AV25+AV26+AV27+AV28</f>
        <v>26146914</v>
      </c>
      <c r="AW20" s="5">
        <f>AW21+AW22+AW23+AW24+AW25+AW26+AW27+AW28</f>
        <v>15625673</v>
      </c>
      <c r="AX20" s="5">
        <f>AX21+AX22+AX23+AX24+AX25+AX26+AX27+AX28</f>
        <v>155589974</v>
      </c>
      <c r="AY20" s="73">
        <f t="shared" si="15"/>
        <v>197362561</v>
      </c>
      <c r="AZ20" s="5">
        <f>AZ21+AZ22+AZ23+AZ24+AZ25+AZ26+AZ27+AZ28</f>
        <v>22236893</v>
      </c>
      <c r="BA20" s="5">
        <f>BA21+BA22+BA23+BA24+BA25+BA26+BA27+BA28</f>
        <v>577027</v>
      </c>
      <c r="BB20" s="5">
        <f>BB21+BB22+BB23+BB24+BB25+BB26+BB27+BB28</f>
        <v>3000000</v>
      </c>
      <c r="BC20" s="73">
        <f t="shared" si="6"/>
        <v>25813920</v>
      </c>
      <c r="BD20" s="80">
        <f t="shared" si="7"/>
        <v>223176481</v>
      </c>
    </row>
    <row r="21" spans="1:56" ht="17.25" thickBot="1" x14ac:dyDescent="0.3">
      <c r="A21" s="88" t="s">
        <v>26</v>
      </c>
      <c r="B21" s="8" t="s">
        <v>27</v>
      </c>
      <c r="C21" s="28">
        <v>1005419</v>
      </c>
      <c r="D21" s="30">
        <v>2825709.9219999998</v>
      </c>
      <c r="E21" s="99">
        <v>0</v>
      </c>
      <c r="F21" s="144">
        <f t="shared" ref="F21:F28" si="23">SUM(C21:E21)</f>
        <v>3831128.9219999998</v>
      </c>
      <c r="G21" s="30">
        <v>946583.99300000002</v>
      </c>
      <c r="H21" s="167">
        <v>0</v>
      </c>
      <c r="I21" s="168">
        <v>0</v>
      </c>
      <c r="J21" s="144">
        <f>G21+H21</f>
        <v>946583.99300000002</v>
      </c>
      <c r="K21" s="146">
        <f t="shared" si="11"/>
        <v>4777712.915</v>
      </c>
      <c r="L21" s="140">
        <v>1537729.2010000001</v>
      </c>
      <c r="M21" s="140">
        <v>2674701.4020000002</v>
      </c>
      <c r="N21" s="140">
        <v>0</v>
      </c>
      <c r="O21" s="145">
        <f t="shared" si="1"/>
        <v>4212430.6030000001</v>
      </c>
      <c r="P21" s="140">
        <v>703334.21299999999</v>
      </c>
      <c r="Q21" s="30"/>
      <c r="R21" s="30"/>
      <c r="S21" s="144">
        <f t="shared" si="2"/>
        <v>703334.21299999999</v>
      </c>
      <c r="T21" s="146">
        <f t="shared" si="3"/>
        <v>4915764.8159999996</v>
      </c>
      <c r="U21" s="7">
        <v>2035008</v>
      </c>
      <c r="V21" s="7">
        <v>4196101</v>
      </c>
      <c r="W21" s="7">
        <v>0</v>
      </c>
      <c r="X21" s="74">
        <f t="shared" ref="X21:X28" si="24">SUM(U21:W21)</f>
        <v>6231109</v>
      </c>
      <c r="Y21" s="7">
        <v>2200000</v>
      </c>
      <c r="Z21" s="7"/>
      <c r="AA21" s="7"/>
      <c r="AB21" s="74">
        <f t="shared" ref="AB21:AB28" si="25">Y21+Z21+AA21</f>
        <v>2200000</v>
      </c>
      <c r="AC21" s="80">
        <f t="shared" ref="AC21:AC28" si="26">X21+AB21</f>
        <v>8431109</v>
      </c>
      <c r="AD21" s="112">
        <v>1933311</v>
      </c>
      <c r="AE21" s="36">
        <v>4196101</v>
      </c>
      <c r="AF21" s="28">
        <v>0</v>
      </c>
      <c r="AG21" s="74">
        <f t="shared" ref="AG21:AG28" si="27">SUM(AD21:AF21)</f>
        <v>6129412</v>
      </c>
      <c r="AH21" s="28">
        <v>1500000</v>
      </c>
      <c r="AI21" s="7"/>
      <c r="AJ21" s="7">
        <v>3000000</v>
      </c>
      <c r="AK21" s="74">
        <f t="shared" ref="AK21:AK28" si="28">AH21+AI21+AJ21</f>
        <v>4500000</v>
      </c>
      <c r="AL21" s="80">
        <f t="shared" si="5"/>
        <v>10629412</v>
      </c>
      <c r="AM21" s="7">
        <v>2043822</v>
      </c>
      <c r="AN21" s="7">
        <v>4196101</v>
      </c>
      <c r="AO21" s="7">
        <v>0</v>
      </c>
      <c r="AP21" s="74">
        <f t="shared" ref="AP21:AP28" si="29">SUM(AM21:AO21)</f>
        <v>6239923</v>
      </c>
      <c r="AQ21" s="7">
        <v>2500000</v>
      </c>
      <c r="AR21" s="7">
        <v>0</v>
      </c>
      <c r="AS21" s="7">
        <v>3000000</v>
      </c>
      <c r="AT21" s="74">
        <f t="shared" ref="AT21:AT28" si="30">AQ21+AR21+AS21</f>
        <v>5500000</v>
      </c>
      <c r="AU21" s="80">
        <f t="shared" ref="AU21:AU28" si="31">AP21+AT21</f>
        <v>11739923</v>
      </c>
      <c r="AV21" s="7">
        <v>2129716</v>
      </c>
      <c r="AW21" s="7">
        <v>4196101</v>
      </c>
      <c r="AX21" s="7">
        <v>0</v>
      </c>
      <c r="AY21" s="98">
        <f t="shared" si="15"/>
        <v>6325817</v>
      </c>
      <c r="AZ21" s="7">
        <f>300000+1054810</f>
        <v>1354810</v>
      </c>
      <c r="BA21" s="7">
        <v>0</v>
      </c>
      <c r="BB21" s="7">
        <v>3000000</v>
      </c>
      <c r="BC21" s="98">
        <f t="shared" si="6"/>
        <v>4354810</v>
      </c>
      <c r="BD21" s="80">
        <f t="shared" si="7"/>
        <v>10680627</v>
      </c>
    </row>
    <row r="22" spans="1:56" ht="17.25" thickBot="1" x14ac:dyDescent="0.3">
      <c r="A22" s="88" t="s">
        <v>28</v>
      </c>
      <c r="B22" s="6" t="s">
        <v>255</v>
      </c>
      <c r="C22" s="30">
        <v>282780</v>
      </c>
      <c r="D22" s="30">
        <v>316909.51799999998</v>
      </c>
      <c r="E22" s="102">
        <v>2865000</v>
      </c>
      <c r="F22" s="144">
        <f t="shared" si="23"/>
        <v>3464689.5180000002</v>
      </c>
      <c r="G22" s="30">
        <v>54436.055</v>
      </c>
      <c r="H22" s="167">
        <v>0</v>
      </c>
      <c r="I22" s="168">
        <v>0</v>
      </c>
      <c r="J22" s="144">
        <f t="shared" ref="J22:J28" si="32">G22+H22</f>
        <v>54436.055</v>
      </c>
      <c r="K22" s="146">
        <f t="shared" si="11"/>
        <v>3519125.5730000003</v>
      </c>
      <c r="L22" s="140">
        <v>509560.13500000001</v>
      </c>
      <c r="M22" s="140">
        <v>379907.27</v>
      </c>
      <c r="N22" s="140">
        <v>3550000</v>
      </c>
      <c r="O22" s="145">
        <f t="shared" si="1"/>
        <v>4439467.4050000003</v>
      </c>
      <c r="P22" s="140">
        <v>1004715.28</v>
      </c>
      <c r="Q22" s="30">
        <v>0</v>
      </c>
      <c r="R22" s="30"/>
      <c r="S22" s="144">
        <f t="shared" si="2"/>
        <v>1004715.28</v>
      </c>
      <c r="T22" s="146">
        <f t="shared" si="3"/>
        <v>5444182.6850000005</v>
      </c>
      <c r="U22" s="7">
        <v>914333</v>
      </c>
      <c r="V22" s="7">
        <v>773571</v>
      </c>
      <c r="W22" s="7">
        <v>3550000</v>
      </c>
      <c r="X22" s="74">
        <f t="shared" si="24"/>
        <v>5237904</v>
      </c>
      <c r="Y22" s="7">
        <v>3100000</v>
      </c>
      <c r="Z22" s="7">
        <v>0</v>
      </c>
      <c r="AA22" s="7"/>
      <c r="AB22" s="74">
        <f t="shared" si="25"/>
        <v>3100000</v>
      </c>
      <c r="AC22" s="80">
        <f t="shared" si="26"/>
        <v>8337904</v>
      </c>
      <c r="AD22" s="113">
        <v>948850</v>
      </c>
      <c r="AE22" s="30">
        <v>773570.99199999997</v>
      </c>
      <c r="AF22" s="30">
        <v>11074974</v>
      </c>
      <c r="AG22" s="74">
        <f t="shared" si="27"/>
        <v>12797394.992000001</v>
      </c>
      <c r="AH22" s="30">
        <v>4100000</v>
      </c>
      <c r="AI22" s="7">
        <v>0</v>
      </c>
      <c r="AJ22" s="7"/>
      <c r="AK22" s="74">
        <f t="shared" si="28"/>
        <v>4100000</v>
      </c>
      <c r="AL22" s="80">
        <f t="shared" si="5"/>
        <v>16897394.991999999</v>
      </c>
      <c r="AM22" s="7">
        <v>1016034</v>
      </c>
      <c r="AN22" s="7">
        <v>773571</v>
      </c>
      <c r="AO22" s="7">
        <v>11074974</v>
      </c>
      <c r="AP22" s="74">
        <f t="shared" si="29"/>
        <v>12864579</v>
      </c>
      <c r="AQ22" s="7">
        <v>19100000</v>
      </c>
      <c r="AR22" s="19">
        <v>0</v>
      </c>
      <c r="AS22" s="7"/>
      <c r="AT22" s="74">
        <f t="shared" si="30"/>
        <v>19100000</v>
      </c>
      <c r="AU22" s="80">
        <f t="shared" si="31"/>
        <v>31964579</v>
      </c>
      <c r="AV22" s="7">
        <v>1068252</v>
      </c>
      <c r="AW22" s="7">
        <v>773571</v>
      </c>
      <c r="AX22" s="7">
        <v>11074974</v>
      </c>
      <c r="AY22" s="98">
        <f t="shared" si="15"/>
        <v>12916797</v>
      </c>
      <c r="AZ22" s="7">
        <v>19100000</v>
      </c>
      <c r="BA22" s="19">
        <v>0</v>
      </c>
      <c r="BB22" s="7">
        <v>0</v>
      </c>
      <c r="BC22" s="98">
        <f t="shared" si="6"/>
        <v>19100000</v>
      </c>
      <c r="BD22" s="80">
        <f t="shared" si="7"/>
        <v>32016797</v>
      </c>
    </row>
    <row r="23" spans="1:56" ht="17.25" thickBot="1" x14ac:dyDescent="0.3">
      <c r="A23" s="88" t="s">
        <v>29</v>
      </c>
      <c r="B23" s="6" t="s">
        <v>30</v>
      </c>
      <c r="C23" s="30">
        <v>9536380</v>
      </c>
      <c r="D23" s="30">
        <v>1286227.8229999999</v>
      </c>
      <c r="E23" s="102">
        <v>415000</v>
      </c>
      <c r="F23" s="144">
        <f t="shared" si="23"/>
        <v>11237607.822999999</v>
      </c>
      <c r="G23" s="30">
        <v>63853.375999999997</v>
      </c>
      <c r="H23" s="167">
        <v>0</v>
      </c>
      <c r="I23" s="168">
        <v>0</v>
      </c>
      <c r="J23" s="144">
        <f t="shared" si="32"/>
        <v>63853.375999999997</v>
      </c>
      <c r="K23" s="146">
        <f t="shared" si="11"/>
        <v>11301461.198999999</v>
      </c>
      <c r="L23" s="140">
        <v>15971591.872000001</v>
      </c>
      <c r="M23" s="140">
        <v>1189549.9889999998</v>
      </c>
      <c r="N23" s="140">
        <v>411250</v>
      </c>
      <c r="O23" s="145">
        <f t="shared" si="1"/>
        <v>17572391.861000001</v>
      </c>
      <c r="P23" s="140">
        <v>0</v>
      </c>
      <c r="Q23" s="30">
        <v>0</v>
      </c>
      <c r="R23" s="30">
        <v>0</v>
      </c>
      <c r="S23" s="144">
        <f t="shared" si="2"/>
        <v>0</v>
      </c>
      <c r="T23" s="146">
        <f t="shared" si="3"/>
        <v>17572391.861000001</v>
      </c>
      <c r="U23" s="96">
        <v>15961033</v>
      </c>
      <c r="V23" s="7">
        <v>2536000</v>
      </c>
      <c r="W23" s="7">
        <v>1315000</v>
      </c>
      <c r="X23" s="74">
        <f t="shared" si="24"/>
        <v>19812033</v>
      </c>
      <c r="Y23" s="7">
        <v>100000</v>
      </c>
      <c r="Z23" s="7">
        <v>0</v>
      </c>
      <c r="AA23" s="7">
        <v>0</v>
      </c>
      <c r="AB23" s="74">
        <f t="shared" si="25"/>
        <v>100000</v>
      </c>
      <c r="AC23" s="80">
        <f t="shared" si="26"/>
        <v>19912033</v>
      </c>
      <c r="AD23" s="113">
        <v>15105434</v>
      </c>
      <c r="AE23" s="30">
        <v>2986000</v>
      </c>
      <c r="AF23" s="30">
        <v>1315000</v>
      </c>
      <c r="AG23" s="74">
        <f t="shared" si="27"/>
        <v>19406434</v>
      </c>
      <c r="AH23" s="30">
        <v>100000</v>
      </c>
      <c r="AI23" s="7">
        <v>577027</v>
      </c>
      <c r="AJ23" s="7">
        <v>0</v>
      </c>
      <c r="AK23" s="74">
        <f t="shared" si="28"/>
        <v>677027</v>
      </c>
      <c r="AL23" s="80">
        <f t="shared" si="5"/>
        <v>20083461</v>
      </c>
      <c r="AM23" s="7">
        <v>16331802</v>
      </c>
      <c r="AN23" s="7">
        <v>2986000</v>
      </c>
      <c r="AO23" s="7">
        <v>1315000</v>
      </c>
      <c r="AP23" s="74">
        <f t="shared" si="29"/>
        <v>20632802</v>
      </c>
      <c r="AQ23" s="7">
        <v>100000</v>
      </c>
      <c r="AR23" s="7">
        <v>577027</v>
      </c>
      <c r="AS23" s="7">
        <v>0</v>
      </c>
      <c r="AT23" s="74">
        <f t="shared" si="30"/>
        <v>677027</v>
      </c>
      <c r="AU23" s="80">
        <f t="shared" si="31"/>
        <v>21309829</v>
      </c>
      <c r="AV23" s="7">
        <v>17284989</v>
      </c>
      <c r="AW23" s="7">
        <v>2986000</v>
      </c>
      <c r="AX23" s="7">
        <v>1315000</v>
      </c>
      <c r="AY23" s="98">
        <f t="shared" si="15"/>
        <v>21585989</v>
      </c>
      <c r="AZ23" s="7">
        <v>100000</v>
      </c>
      <c r="BA23" s="7">
        <v>577027</v>
      </c>
      <c r="BB23" s="7">
        <v>0</v>
      </c>
      <c r="BC23" s="98">
        <f t="shared" si="6"/>
        <v>677027</v>
      </c>
      <c r="BD23" s="80">
        <f t="shared" si="7"/>
        <v>22263016</v>
      </c>
    </row>
    <row r="24" spans="1:56" ht="17.25" thickBot="1" x14ac:dyDescent="0.3">
      <c r="A24" s="88" t="s">
        <v>31</v>
      </c>
      <c r="B24" s="6" t="s">
        <v>32</v>
      </c>
      <c r="C24" s="30">
        <v>1476713</v>
      </c>
      <c r="D24" s="30">
        <v>419251.31599999999</v>
      </c>
      <c r="E24" s="102">
        <v>0</v>
      </c>
      <c r="F24" s="144">
        <f t="shared" si="23"/>
        <v>1895964.3160000001</v>
      </c>
      <c r="G24" s="30">
        <v>80590.757999999987</v>
      </c>
      <c r="H24" s="167">
        <v>0</v>
      </c>
      <c r="I24" s="168">
        <v>0</v>
      </c>
      <c r="J24" s="144">
        <f t="shared" si="32"/>
        <v>80590.757999999987</v>
      </c>
      <c r="K24" s="146">
        <f t="shared" si="11"/>
        <v>1976555.074</v>
      </c>
      <c r="L24" s="140">
        <v>2973623.9420000003</v>
      </c>
      <c r="M24" s="140">
        <v>438858.24300000002</v>
      </c>
      <c r="N24" s="140">
        <v>0</v>
      </c>
      <c r="O24" s="145">
        <f t="shared" si="1"/>
        <v>3412482.1850000005</v>
      </c>
      <c r="P24" s="140">
        <v>0</v>
      </c>
      <c r="Q24" s="30">
        <v>0</v>
      </c>
      <c r="R24" s="30">
        <v>0</v>
      </c>
      <c r="S24" s="144">
        <f t="shared" si="2"/>
        <v>0</v>
      </c>
      <c r="T24" s="146">
        <f t="shared" si="3"/>
        <v>3412482.1850000005</v>
      </c>
      <c r="U24" s="7">
        <v>4041300</v>
      </c>
      <c r="V24" s="7">
        <v>903811</v>
      </c>
      <c r="W24" s="7">
        <v>0</v>
      </c>
      <c r="X24" s="74">
        <f t="shared" si="24"/>
        <v>4945111</v>
      </c>
      <c r="Y24" s="7">
        <v>2000000</v>
      </c>
      <c r="Z24" s="7">
        <v>0</v>
      </c>
      <c r="AA24" s="7">
        <v>0</v>
      </c>
      <c r="AB24" s="74">
        <f t="shared" si="25"/>
        <v>2000000</v>
      </c>
      <c r="AC24" s="80">
        <f t="shared" si="26"/>
        <v>6945111</v>
      </c>
      <c r="AD24" s="113">
        <v>4957018</v>
      </c>
      <c r="AE24" s="30">
        <v>1820001</v>
      </c>
      <c r="AF24" s="30">
        <v>0</v>
      </c>
      <c r="AG24" s="74">
        <f t="shared" si="27"/>
        <v>6777019</v>
      </c>
      <c r="AH24" s="30">
        <v>2000000</v>
      </c>
      <c r="AI24" s="7">
        <v>0</v>
      </c>
      <c r="AJ24" s="7">
        <v>0</v>
      </c>
      <c r="AK24" s="74">
        <f t="shared" si="28"/>
        <v>2000000</v>
      </c>
      <c r="AL24" s="80">
        <f t="shared" si="5"/>
        <v>8777019</v>
      </c>
      <c r="AM24" s="7">
        <v>5270390</v>
      </c>
      <c r="AN24" s="7">
        <v>1820001</v>
      </c>
      <c r="AO24" s="7">
        <v>0</v>
      </c>
      <c r="AP24" s="74">
        <f>SUM(AM24:AO24)</f>
        <v>7090391</v>
      </c>
      <c r="AQ24" s="7">
        <v>2000000</v>
      </c>
      <c r="AR24" s="7">
        <v>0</v>
      </c>
      <c r="AS24" s="7">
        <v>0</v>
      </c>
      <c r="AT24" s="74">
        <f t="shared" si="30"/>
        <v>2000000</v>
      </c>
      <c r="AU24" s="80">
        <f t="shared" si="31"/>
        <v>9090391</v>
      </c>
      <c r="AV24" s="7">
        <v>5513957</v>
      </c>
      <c r="AW24" s="7">
        <v>1820001</v>
      </c>
      <c r="AX24" s="7">
        <v>0</v>
      </c>
      <c r="AY24" s="98">
        <f t="shared" si="15"/>
        <v>7333958</v>
      </c>
      <c r="AZ24" s="7">
        <v>1682083</v>
      </c>
      <c r="BA24" s="7">
        <v>0</v>
      </c>
      <c r="BB24" s="7">
        <v>0</v>
      </c>
      <c r="BC24" s="98">
        <f t="shared" si="6"/>
        <v>1682083</v>
      </c>
      <c r="BD24" s="80">
        <f t="shared" si="7"/>
        <v>9016041</v>
      </c>
    </row>
    <row r="25" spans="1:56" ht="17.25" thickBot="1" x14ac:dyDescent="0.3">
      <c r="A25" s="89" t="s">
        <v>33</v>
      </c>
      <c r="B25" s="61" t="s">
        <v>34</v>
      </c>
      <c r="C25" s="35">
        <v>214312</v>
      </c>
      <c r="D25" s="30">
        <v>26567.364000000001</v>
      </c>
      <c r="E25" s="103">
        <v>3559687</v>
      </c>
      <c r="F25" s="144">
        <f t="shared" si="23"/>
        <v>3800566.3640000001</v>
      </c>
      <c r="G25" s="30">
        <v>0</v>
      </c>
      <c r="H25" s="167">
        <v>0</v>
      </c>
      <c r="I25" s="168">
        <v>0</v>
      </c>
      <c r="J25" s="144">
        <f t="shared" si="32"/>
        <v>0</v>
      </c>
      <c r="K25" s="146">
        <f t="shared" si="11"/>
        <v>3800566.3640000001</v>
      </c>
      <c r="L25" s="140">
        <v>305514.80199999997</v>
      </c>
      <c r="M25" s="140">
        <v>458320.32000000007</v>
      </c>
      <c r="N25" s="140">
        <v>7634428.2640000004</v>
      </c>
      <c r="O25" s="145">
        <f t="shared" si="1"/>
        <v>8398263.3859999999</v>
      </c>
      <c r="P25" s="140">
        <v>700000</v>
      </c>
      <c r="Q25" s="30">
        <v>0</v>
      </c>
      <c r="R25" s="30">
        <v>0</v>
      </c>
      <c r="S25" s="144">
        <f t="shared" si="2"/>
        <v>700000</v>
      </c>
      <c r="T25" s="146">
        <f t="shared" si="3"/>
        <v>9098263.3859999999</v>
      </c>
      <c r="U25" s="7">
        <v>607058</v>
      </c>
      <c r="V25" s="7">
        <v>916190</v>
      </c>
      <c r="W25" s="7">
        <v>7524974</v>
      </c>
      <c r="X25" s="74">
        <f t="shared" si="24"/>
        <v>9048222</v>
      </c>
      <c r="Y25" s="7">
        <v>0</v>
      </c>
      <c r="Z25" s="7">
        <v>0</v>
      </c>
      <c r="AA25" s="7">
        <v>0</v>
      </c>
      <c r="AB25" s="74">
        <f t="shared" si="25"/>
        <v>0</v>
      </c>
      <c r="AC25" s="80">
        <f t="shared" si="26"/>
        <v>9048222</v>
      </c>
      <c r="AD25" s="113">
        <v>0</v>
      </c>
      <c r="AE25" s="7">
        <v>0</v>
      </c>
      <c r="AF25" s="7">
        <v>0</v>
      </c>
      <c r="AG25" s="74">
        <f t="shared" si="27"/>
        <v>0</v>
      </c>
      <c r="AH25" s="7">
        <v>0</v>
      </c>
      <c r="AI25" s="7">
        <v>0</v>
      </c>
      <c r="AJ25" s="7">
        <v>0</v>
      </c>
      <c r="AK25" s="74">
        <f t="shared" si="28"/>
        <v>0</v>
      </c>
      <c r="AL25" s="80">
        <f t="shared" si="5"/>
        <v>0</v>
      </c>
      <c r="AM25" s="7">
        <v>0</v>
      </c>
      <c r="AN25" s="7">
        <v>0</v>
      </c>
      <c r="AO25" s="7">
        <v>0</v>
      </c>
      <c r="AP25" s="74">
        <f t="shared" si="29"/>
        <v>0</v>
      </c>
      <c r="AQ25" s="7">
        <v>0</v>
      </c>
      <c r="AR25" s="7">
        <v>0</v>
      </c>
      <c r="AS25" s="7">
        <v>0</v>
      </c>
      <c r="AT25" s="74">
        <f t="shared" si="30"/>
        <v>0</v>
      </c>
      <c r="AU25" s="80">
        <f t="shared" si="31"/>
        <v>0</v>
      </c>
      <c r="AV25" s="7">
        <v>0</v>
      </c>
      <c r="AW25" s="7">
        <v>0</v>
      </c>
      <c r="AX25" s="7">
        <v>0</v>
      </c>
      <c r="AY25" s="98">
        <f t="shared" si="15"/>
        <v>0</v>
      </c>
      <c r="AZ25" s="7">
        <v>0</v>
      </c>
      <c r="BA25" s="7">
        <v>0</v>
      </c>
      <c r="BB25" s="7">
        <v>0</v>
      </c>
      <c r="BC25" s="98">
        <f t="shared" si="6"/>
        <v>0</v>
      </c>
      <c r="BD25" s="80">
        <f t="shared" si="7"/>
        <v>0</v>
      </c>
    </row>
    <row r="26" spans="1:56" ht="17.25" thickBot="1" x14ac:dyDescent="0.3">
      <c r="A26" s="91">
        <v>31</v>
      </c>
      <c r="B26" s="61" t="s">
        <v>235</v>
      </c>
      <c r="C26" s="37">
        <v>105185</v>
      </c>
      <c r="D26" s="37">
        <v>171342</v>
      </c>
      <c r="E26" s="104">
        <v>87215955</v>
      </c>
      <c r="F26" s="144">
        <f t="shared" si="23"/>
        <v>87492482</v>
      </c>
      <c r="G26" s="104"/>
      <c r="H26" s="167">
        <v>0</v>
      </c>
      <c r="I26" s="168">
        <v>0</v>
      </c>
      <c r="J26" s="144">
        <f t="shared" si="32"/>
        <v>0</v>
      </c>
      <c r="K26" s="146">
        <f t="shared" si="11"/>
        <v>87492482</v>
      </c>
      <c r="L26" s="140">
        <v>108052</v>
      </c>
      <c r="M26" s="140">
        <v>86045.352000000014</v>
      </c>
      <c r="N26" s="140">
        <v>87256047.669</v>
      </c>
      <c r="O26" s="145">
        <f t="shared" si="1"/>
        <v>87450145.020999998</v>
      </c>
      <c r="P26" s="36">
        <v>0</v>
      </c>
      <c r="Q26" s="36">
        <v>0</v>
      </c>
      <c r="R26" s="36">
        <v>0</v>
      </c>
      <c r="S26" s="144">
        <f t="shared" si="2"/>
        <v>0</v>
      </c>
      <c r="T26" s="146">
        <f t="shared" si="3"/>
        <v>87450145.020999998</v>
      </c>
      <c r="U26" s="7">
        <v>150000</v>
      </c>
      <c r="V26" s="7">
        <v>850000</v>
      </c>
      <c r="W26" s="7">
        <v>99300000</v>
      </c>
      <c r="X26" s="75">
        <f t="shared" si="24"/>
        <v>100300000</v>
      </c>
      <c r="Y26" s="7">
        <v>0</v>
      </c>
      <c r="Z26" s="17">
        <v>0</v>
      </c>
      <c r="AA26" s="17">
        <v>0</v>
      </c>
      <c r="AB26" s="75">
        <f t="shared" si="25"/>
        <v>0</v>
      </c>
      <c r="AC26" s="80">
        <f t="shared" si="26"/>
        <v>100300000</v>
      </c>
      <c r="AD26" s="114">
        <f>'[2]RECAP 2025'!$O$51</f>
        <v>150000</v>
      </c>
      <c r="AE26" s="37">
        <f>'[2]RECAP 2025'!$P$51</f>
        <v>850000</v>
      </c>
      <c r="AF26" s="37">
        <f>'[2]RECAP 2025'!$Q$52</f>
        <v>99600000</v>
      </c>
      <c r="AG26" s="75">
        <f t="shared" si="27"/>
        <v>100600000</v>
      </c>
      <c r="AH26" s="7">
        <v>0</v>
      </c>
      <c r="AI26" s="17">
        <v>0</v>
      </c>
      <c r="AJ26" s="17">
        <v>0</v>
      </c>
      <c r="AK26" s="75">
        <f t="shared" si="28"/>
        <v>0</v>
      </c>
      <c r="AL26" s="80">
        <f t="shared" si="5"/>
        <v>100600000</v>
      </c>
      <c r="AM26" s="7">
        <v>150000</v>
      </c>
      <c r="AN26" s="7">
        <v>850000</v>
      </c>
      <c r="AO26" s="7">
        <v>125000000</v>
      </c>
      <c r="AP26" s="75">
        <f t="shared" si="29"/>
        <v>126000000</v>
      </c>
      <c r="AQ26" s="17">
        <v>0</v>
      </c>
      <c r="AR26" s="17">
        <v>0</v>
      </c>
      <c r="AS26" s="17">
        <v>0</v>
      </c>
      <c r="AT26" s="75">
        <f t="shared" si="30"/>
        <v>0</v>
      </c>
      <c r="AU26" s="80">
        <f t="shared" si="31"/>
        <v>126000000</v>
      </c>
      <c r="AV26" s="7">
        <v>150000</v>
      </c>
      <c r="AW26" s="7">
        <v>850000</v>
      </c>
      <c r="AX26" s="7">
        <v>137200000</v>
      </c>
      <c r="AY26" s="98">
        <f t="shared" si="15"/>
        <v>138200000</v>
      </c>
      <c r="AZ26" s="17">
        <v>0</v>
      </c>
      <c r="BA26" s="17">
        <v>0</v>
      </c>
      <c r="BB26" s="17">
        <v>0</v>
      </c>
      <c r="BC26" s="98">
        <f t="shared" si="6"/>
        <v>0</v>
      </c>
      <c r="BD26" s="80">
        <f t="shared" si="7"/>
        <v>138200000</v>
      </c>
    </row>
    <row r="27" spans="1:56" ht="16.5" x14ac:dyDescent="0.25">
      <c r="A27" s="91">
        <v>107</v>
      </c>
      <c r="B27" s="64" t="s">
        <v>256</v>
      </c>
      <c r="C27" s="37">
        <v>0</v>
      </c>
      <c r="D27" s="37">
        <v>0</v>
      </c>
      <c r="E27" s="104">
        <v>0</v>
      </c>
      <c r="F27" s="144">
        <f t="shared" si="23"/>
        <v>0</v>
      </c>
      <c r="G27" s="104">
        <v>0</v>
      </c>
      <c r="H27" s="167">
        <v>0</v>
      </c>
      <c r="I27" s="168">
        <v>0</v>
      </c>
      <c r="J27" s="144">
        <f t="shared" si="32"/>
        <v>0</v>
      </c>
      <c r="K27" s="146">
        <f>'[1]Classification prog-économi (2'!$Y$111</f>
        <v>437010</v>
      </c>
      <c r="L27" s="36">
        <v>0</v>
      </c>
      <c r="M27" s="36">
        <v>0</v>
      </c>
      <c r="N27" s="36">
        <v>0</v>
      </c>
      <c r="O27" s="145">
        <f t="shared" si="1"/>
        <v>0</v>
      </c>
      <c r="P27" s="36">
        <v>0</v>
      </c>
      <c r="Q27" s="36">
        <v>0</v>
      </c>
      <c r="R27" s="36">
        <v>0</v>
      </c>
      <c r="S27" s="144">
        <f t="shared" si="2"/>
        <v>0</v>
      </c>
      <c r="T27" s="146">
        <v>22000</v>
      </c>
      <c r="U27" s="7"/>
      <c r="V27" s="7">
        <v>5000000</v>
      </c>
      <c r="W27" s="7">
        <v>0</v>
      </c>
      <c r="X27" s="75">
        <f t="shared" si="24"/>
        <v>5000000</v>
      </c>
      <c r="Y27" s="17">
        <v>0</v>
      </c>
      <c r="Z27" s="17">
        <v>0</v>
      </c>
      <c r="AA27" s="17">
        <v>0</v>
      </c>
      <c r="AB27" s="75">
        <f t="shared" si="25"/>
        <v>0</v>
      </c>
      <c r="AC27" s="80">
        <f t="shared" si="26"/>
        <v>5000000</v>
      </c>
      <c r="AD27" s="7"/>
      <c r="AE27" s="37">
        <f>'[2]RECAP 2025'!$P$58</f>
        <v>5000000</v>
      </c>
      <c r="AF27" s="7">
        <v>0</v>
      </c>
      <c r="AG27" s="75">
        <f t="shared" si="27"/>
        <v>5000000</v>
      </c>
      <c r="AH27" s="17">
        <v>0</v>
      </c>
      <c r="AI27" s="17">
        <v>0</v>
      </c>
      <c r="AJ27" s="17">
        <v>0</v>
      </c>
      <c r="AK27" s="75">
        <f t="shared" si="28"/>
        <v>0</v>
      </c>
      <c r="AL27" s="80">
        <f t="shared" si="5"/>
        <v>5000000</v>
      </c>
      <c r="AM27" s="7">
        <v>0</v>
      </c>
      <c r="AN27" s="7">
        <v>5000000</v>
      </c>
      <c r="AO27" s="7">
        <v>0</v>
      </c>
      <c r="AP27" s="75">
        <f t="shared" si="29"/>
        <v>5000000</v>
      </c>
      <c r="AQ27" s="17">
        <v>0</v>
      </c>
      <c r="AR27" s="17">
        <v>0</v>
      </c>
      <c r="AS27" s="17">
        <v>0</v>
      </c>
      <c r="AT27" s="75">
        <f t="shared" si="30"/>
        <v>0</v>
      </c>
      <c r="AU27" s="80">
        <f t="shared" si="31"/>
        <v>5000000</v>
      </c>
      <c r="AV27" s="7">
        <v>0</v>
      </c>
      <c r="AW27" s="7">
        <v>5000000</v>
      </c>
      <c r="AX27" s="7">
        <v>0</v>
      </c>
      <c r="AY27" s="98">
        <f t="shared" si="15"/>
        <v>5000000</v>
      </c>
      <c r="AZ27" s="17">
        <v>0</v>
      </c>
      <c r="BA27" s="17">
        <v>0</v>
      </c>
      <c r="BB27" s="17">
        <v>0</v>
      </c>
      <c r="BC27" s="98">
        <f t="shared" si="6"/>
        <v>0</v>
      </c>
      <c r="BD27" s="80">
        <f t="shared" si="7"/>
        <v>5000000</v>
      </c>
    </row>
    <row r="28" spans="1:56" ht="16.5" x14ac:dyDescent="0.25">
      <c r="A28" s="91">
        <v>108</v>
      </c>
      <c r="B28" s="64" t="s">
        <v>236</v>
      </c>
      <c r="C28" s="37">
        <v>0</v>
      </c>
      <c r="D28" s="37">
        <v>0</v>
      </c>
      <c r="E28" s="104">
        <v>0</v>
      </c>
      <c r="F28" s="144">
        <f t="shared" si="23"/>
        <v>0</v>
      </c>
      <c r="G28" s="104">
        <v>0</v>
      </c>
      <c r="H28" s="167">
        <v>0</v>
      </c>
      <c r="I28" s="168">
        <v>0</v>
      </c>
      <c r="J28" s="144">
        <f t="shared" si="32"/>
        <v>0</v>
      </c>
      <c r="K28" s="146">
        <f>'[1]Classification prog-économi (2'!$Y$112</f>
        <v>570100</v>
      </c>
      <c r="L28" s="36">
        <v>0</v>
      </c>
      <c r="M28" s="36">
        <v>0</v>
      </c>
      <c r="N28" s="36">
        <v>0</v>
      </c>
      <c r="O28" s="145">
        <f t="shared" si="1"/>
        <v>0</v>
      </c>
      <c r="P28" s="36">
        <v>0</v>
      </c>
      <c r="Q28" s="36">
        <v>0</v>
      </c>
      <c r="R28" s="36">
        <v>0</v>
      </c>
      <c r="S28" s="144">
        <f t="shared" si="2"/>
        <v>0</v>
      </c>
      <c r="T28" s="146">
        <v>3913978.7499999995</v>
      </c>
      <c r="U28" s="7"/>
      <c r="V28" s="7">
        <v>0</v>
      </c>
      <c r="W28" s="17">
        <v>6000000</v>
      </c>
      <c r="X28" s="75">
        <f t="shared" si="24"/>
        <v>6000000</v>
      </c>
      <c r="Y28" s="17">
        <v>0</v>
      </c>
      <c r="Z28" s="17">
        <v>0</v>
      </c>
      <c r="AA28" s="17">
        <v>0</v>
      </c>
      <c r="AB28" s="75">
        <f t="shared" si="25"/>
        <v>0</v>
      </c>
      <c r="AC28" s="80">
        <f t="shared" si="26"/>
        <v>6000000</v>
      </c>
      <c r="AD28" s="7"/>
      <c r="AE28" s="7">
        <v>0</v>
      </c>
      <c r="AF28" s="17">
        <v>6000000</v>
      </c>
      <c r="AG28" s="75">
        <f t="shared" si="27"/>
        <v>6000000</v>
      </c>
      <c r="AH28" s="17">
        <v>0</v>
      </c>
      <c r="AI28" s="17">
        <v>0</v>
      </c>
      <c r="AJ28" s="17">
        <v>0</v>
      </c>
      <c r="AK28" s="75">
        <f t="shared" si="28"/>
        <v>0</v>
      </c>
      <c r="AL28" s="80">
        <f t="shared" si="5"/>
        <v>6000000</v>
      </c>
      <c r="AM28" s="7">
        <v>0</v>
      </c>
      <c r="AN28" s="7">
        <v>0</v>
      </c>
      <c r="AO28" s="17">
        <v>6000000</v>
      </c>
      <c r="AP28" s="75">
        <f t="shared" si="29"/>
        <v>6000000</v>
      </c>
      <c r="AQ28" s="17">
        <v>0</v>
      </c>
      <c r="AR28" s="17">
        <v>0</v>
      </c>
      <c r="AS28" s="17">
        <v>0</v>
      </c>
      <c r="AT28" s="75">
        <f t="shared" si="30"/>
        <v>0</v>
      </c>
      <c r="AU28" s="80">
        <f t="shared" si="31"/>
        <v>6000000</v>
      </c>
      <c r="AV28" s="7">
        <v>0</v>
      </c>
      <c r="AW28" s="7">
        <v>0</v>
      </c>
      <c r="AX28" s="17">
        <v>6000000</v>
      </c>
      <c r="AY28" s="98">
        <f t="shared" si="15"/>
        <v>6000000</v>
      </c>
      <c r="AZ28" s="17">
        <v>0</v>
      </c>
      <c r="BA28" s="17">
        <v>0</v>
      </c>
      <c r="BB28" s="17">
        <v>0</v>
      </c>
      <c r="BC28" s="98">
        <f t="shared" si="6"/>
        <v>0</v>
      </c>
      <c r="BD28" s="80">
        <f t="shared" si="7"/>
        <v>6000000</v>
      </c>
    </row>
    <row r="29" spans="1:56" ht="17.25" thickBot="1" x14ac:dyDescent="0.3">
      <c r="A29" s="171" t="s">
        <v>35</v>
      </c>
      <c r="B29" s="172"/>
      <c r="C29" s="141">
        <f>C30+C31+C32+C33+C34</f>
        <v>36441900</v>
      </c>
      <c r="D29" s="141">
        <f>D30+D31+D32+D33+D34</f>
        <v>8871300</v>
      </c>
      <c r="E29" s="142">
        <f>E30+E31+E32+E33+E34</f>
        <v>623000</v>
      </c>
      <c r="F29" s="145">
        <f t="shared" ref="F29:F39" si="33">C29+D29+E29</f>
        <v>45936200</v>
      </c>
      <c r="G29" s="142">
        <f>G30+G31+G32+G33+G34</f>
        <v>1869100</v>
      </c>
      <c r="H29" s="142">
        <f>H30+H31+H32+H33+H34</f>
        <v>0</v>
      </c>
      <c r="I29" s="142">
        <f>I30+I31+I32+I33+I34</f>
        <v>0</v>
      </c>
      <c r="J29" s="143">
        <f t="shared" si="20"/>
        <v>1869100</v>
      </c>
      <c r="K29" s="146">
        <f t="shared" si="11"/>
        <v>47805300</v>
      </c>
      <c r="L29" s="141">
        <f>L30+L31+L33+L32+L34</f>
        <v>46552727.142000005</v>
      </c>
      <c r="M29" s="141">
        <f>M30+M31+M33+M32+M34</f>
        <v>6960962.4240000006</v>
      </c>
      <c r="N29" s="141">
        <f>N30+N31+N33+N32+N34</f>
        <v>484000</v>
      </c>
      <c r="O29" s="143">
        <f t="shared" si="1"/>
        <v>53997689.566000007</v>
      </c>
      <c r="P29" s="141">
        <f>P30+P31+P33+P32+P34</f>
        <v>6776115.7260000007</v>
      </c>
      <c r="Q29" s="141">
        <f>Q30+Q31+Q33+Q32+Q34</f>
        <v>0</v>
      </c>
      <c r="R29" s="141">
        <f>R30+R31+R33+R32+R34</f>
        <v>0</v>
      </c>
      <c r="S29" s="157">
        <f t="shared" si="2"/>
        <v>6776115.7260000007</v>
      </c>
      <c r="T29" s="146">
        <f>T30+T31+T32+T33+T34</f>
        <v>60773805.292000003</v>
      </c>
      <c r="U29" s="5">
        <f t="shared" ref="U29:AC29" si="34">U30+U31+U33+U32+U34</f>
        <v>55552978</v>
      </c>
      <c r="V29" s="5">
        <f t="shared" si="34"/>
        <v>8650520</v>
      </c>
      <c r="W29" s="5">
        <f t="shared" si="34"/>
        <v>509000</v>
      </c>
      <c r="X29" s="73">
        <f t="shared" si="34"/>
        <v>64712498</v>
      </c>
      <c r="Y29" s="5">
        <f t="shared" si="34"/>
        <v>11550000</v>
      </c>
      <c r="Z29" s="5">
        <f t="shared" si="34"/>
        <v>0</v>
      </c>
      <c r="AA29" s="5">
        <f t="shared" si="34"/>
        <v>0</v>
      </c>
      <c r="AB29" s="73">
        <f t="shared" si="34"/>
        <v>11550000</v>
      </c>
      <c r="AC29" s="80">
        <f t="shared" si="34"/>
        <v>76262498</v>
      </c>
      <c r="AD29" s="5">
        <f t="shared" ref="AD29:AT29" si="35">AD30+AD31+AD33+AD32+AD34</f>
        <v>57382603</v>
      </c>
      <c r="AE29" s="5">
        <f t="shared" si="35"/>
        <v>8220135</v>
      </c>
      <c r="AF29" s="5">
        <f t="shared" si="35"/>
        <v>939385</v>
      </c>
      <c r="AG29" s="73">
        <f t="shared" si="35"/>
        <v>66542123</v>
      </c>
      <c r="AH29" s="5">
        <f t="shared" si="35"/>
        <v>9300000</v>
      </c>
      <c r="AI29" s="5">
        <f t="shared" si="35"/>
        <v>0</v>
      </c>
      <c r="AJ29" s="5">
        <f t="shared" si="35"/>
        <v>0</v>
      </c>
      <c r="AK29" s="73">
        <f t="shared" si="35"/>
        <v>9300000</v>
      </c>
      <c r="AL29" s="80">
        <f t="shared" si="35"/>
        <v>75842123</v>
      </c>
      <c r="AM29" s="5">
        <f t="shared" si="35"/>
        <v>64665190</v>
      </c>
      <c r="AN29" s="5">
        <f t="shared" si="35"/>
        <v>8220135</v>
      </c>
      <c r="AO29" s="5">
        <f t="shared" si="35"/>
        <v>939385</v>
      </c>
      <c r="AP29" s="73">
        <f t="shared" si="35"/>
        <v>73824710</v>
      </c>
      <c r="AQ29" s="5">
        <f t="shared" si="35"/>
        <v>12800000</v>
      </c>
      <c r="AR29" s="5">
        <f t="shared" si="35"/>
        <v>0</v>
      </c>
      <c r="AS29" s="5">
        <f t="shared" si="35"/>
        <v>0</v>
      </c>
      <c r="AT29" s="73">
        <f t="shared" si="35"/>
        <v>12800000</v>
      </c>
      <c r="AU29" s="80">
        <f t="shared" ref="AU29:AU42" si="36">AP29+AT29</f>
        <v>86624710</v>
      </c>
      <c r="AV29" s="5">
        <f>AV30+AV31+AV32+AV33+AV34</f>
        <v>70201013</v>
      </c>
      <c r="AW29" s="5">
        <f>AW30+AW31+AW32+AW33+AW34</f>
        <v>8220135</v>
      </c>
      <c r="AX29" s="5">
        <f>AX30+AX31+AX32+AX33+AX34</f>
        <v>939385</v>
      </c>
      <c r="AY29" s="73">
        <f t="shared" si="15"/>
        <v>79360533</v>
      </c>
      <c r="AZ29" s="5">
        <f>AZ30+AZ31+AZ32+AZ33+AZ34</f>
        <v>11000000</v>
      </c>
      <c r="BA29" s="5">
        <f>BA30+BA31+BA32+BA33+BA34</f>
        <v>0</v>
      </c>
      <c r="BB29" s="5">
        <f>BB30+BB31+BB32+BB33+BB34</f>
        <v>0</v>
      </c>
      <c r="BC29" s="73">
        <f t="shared" si="6"/>
        <v>11000000</v>
      </c>
      <c r="BD29" s="80">
        <f t="shared" si="7"/>
        <v>90360533</v>
      </c>
    </row>
    <row r="30" spans="1:56" ht="17.25" thickBot="1" x14ac:dyDescent="0.35">
      <c r="A30" s="106" t="s">
        <v>148</v>
      </c>
      <c r="B30" s="6" t="s">
        <v>36</v>
      </c>
      <c r="C30" s="30">
        <v>448700</v>
      </c>
      <c r="D30" s="30">
        <v>1840600</v>
      </c>
      <c r="E30" s="30">
        <v>0</v>
      </c>
      <c r="F30" s="145">
        <f t="shared" si="33"/>
        <v>2289300</v>
      </c>
      <c r="G30" s="30">
        <v>92800</v>
      </c>
      <c r="H30" s="30">
        <v>0</v>
      </c>
      <c r="I30" s="30">
        <v>0</v>
      </c>
      <c r="J30" s="144">
        <f>G30+H30</f>
        <v>92800</v>
      </c>
      <c r="K30" s="146">
        <f t="shared" si="11"/>
        <v>2382100</v>
      </c>
      <c r="L30" s="140">
        <v>1014416.4349999999</v>
      </c>
      <c r="M30" s="140">
        <v>1975686.176</v>
      </c>
      <c r="N30" s="140">
        <v>0</v>
      </c>
      <c r="O30" s="145">
        <f t="shared" si="1"/>
        <v>2990102.611</v>
      </c>
      <c r="P30" s="140">
        <v>365531.23599999998</v>
      </c>
      <c r="Q30" s="30">
        <v>0</v>
      </c>
      <c r="R30" s="30">
        <v>0</v>
      </c>
      <c r="S30" s="144">
        <f t="shared" si="2"/>
        <v>365531.23599999998</v>
      </c>
      <c r="T30" s="146">
        <f t="shared" si="3"/>
        <v>3355633.8470000001</v>
      </c>
      <c r="U30" s="21">
        <v>1260086</v>
      </c>
      <c r="V30" s="21">
        <v>2786181</v>
      </c>
      <c r="W30" s="7">
        <v>0</v>
      </c>
      <c r="X30" s="74">
        <f>SUM(U30:W30)</f>
        <v>4046267</v>
      </c>
      <c r="Y30" s="7">
        <v>1272600</v>
      </c>
      <c r="Z30" s="7">
        <v>0</v>
      </c>
      <c r="AA30" s="7">
        <v>0</v>
      </c>
      <c r="AB30" s="74">
        <f>SUM(Y30:AA30)</f>
        <v>1272600</v>
      </c>
      <c r="AC30" s="80">
        <f>X30+AB30</f>
        <v>5318867</v>
      </c>
      <c r="AD30" s="28">
        <v>763465</v>
      </c>
      <c r="AE30" s="28">
        <v>2756181</v>
      </c>
      <c r="AF30" s="28">
        <v>0</v>
      </c>
      <c r="AG30" s="74">
        <f>SUM(AD30:AF30)</f>
        <v>3519646</v>
      </c>
      <c r="AH30" s="28">
        <v>1000000</v>
      </c>
      <c r="AI30" s="7">
        <v>0</v>
      </c>
      <c r="AJ30" s="7">
        <v>0</v>
      </c>
      <c r="AK30" s="74">
        <f>SUM(AH30:AJ30)</f>
        <v>1000000</v>
      </c>
      <c r="AL30" s="80">
        <f t="shared" si="5"/>
        <v>4519646</v>
      </c>
      <c r="AM30" s="7">
        <v>855536</v>
      </c>
      <c r="AN30" s="7">
        <v>2756181</v>
      </c>
      <c r="AO30" s="7">
        <v>0</v>
      </c>
      <c r="AP30" s="74">
        <f>SUM(AM30:AO30)</f>
        <v>3611717</v>
      </c>
      <c r="AQ30" s="7">
        <v>1000000</v>
      </c>
      <c r="AR30" s="7">
        <v>0</v>
      </c>
      <c r="AS30" s="7">
        <v>0</v>
      </c>
      <c r="AT30" s="74">
        <f>SUM(AQ30:AS30)</f>
        <v>1000000</v>
      </c>
      <c r="AU30" s="80">
        <f t="shared" si="36"/>
        <v>4611717</v>
      </c>
      <c r="AV30" s="7">
        <v>925524</v>
      </c>
      <c r="AW30" s="7">
        <v>2756181</v>
      </c>
      <c r="AX30" s="7"/>
      <c r="AY30" s="98">
        <f t="shared" si="15"/>
        <v>3681705</v>
      </c>
      <c r="AZ30" s="7">
        <v>0</v>
      </c>
      <c r="BA30" s="7">
        <v>0</v>
      </c>
      <c r="BB30" s="7">
        <v>0</v>
      </c>
      <c r="BC30" s="98">
        <f t="shared" si="6"/>
        <v>0</v>
      </c>
      <c r="BD30" s="80">
        <f t="shared" si="7"/>
        <v>3681705</v>
      </c>
    </row>
    <row r="31" spans="1:56" ht="17.25" thickBot="1" x14ac:dyDescent="0.35">
      <c r="A31" s="88" t="s">
        <v>150</v>
      </c>
      <c r="B31" s="6" t="s">
        <v>38</v>
      </c>
      <c r="C31" s="30">
        <v>31942700</v>
      </c>
      <c r="D31" s="30">
        <v>6605700</v>
      </c>
      <c r="E31" s="30">
        <v>363000</v>
      </c>
      <c r="F31" s="145">
        <f t="shared" si="33"/>
        <v>38911400</v>
      </c>
      <c r="G31" s="30">
        <v>276300</v>
      </c>
      <c r="H31" s="30">
        <v>0</v>
      </c>
      <c r="I31" s="30">
        <v>0</v>
      </c>
      <c r="J31" s="144">
        <f t="shared" ref="J31:J34" si="37">G31+H31</f>
        <v>276300</v>
      </c>
      <c r="K31" s="146">
        <f t="shared" si="11"/>
        <v>39187700</v>
      </c>
      <c r="L31" s="140">
        <v>41856734.652000003</v>
      </c>
      <c r="M31" s="140">
        <v>4625994.142</v>
      </c>
      <c r="N31" s="140">
        <v>184000</v>
      </c>
      <c r="O31" s="145">
        <f t="shared" si="1"/>
        <v>46666728.794</v>
      </c>
      <c r="P31" s="140">
        <v>2289676.8459999999</v>
      </c>
      <c r="Q31" s="30"/>
      <c r="R31" s="30"/>
      <c r="S31" s="144">
        <f t="shared" si="2"/>
        <v>2289676.8459999999</v>
      </c>
      <c r="T31" s="146">
        <f t="shared" si="3"/>
        <v>48956405.640000001</v>
      </c>
      <c r="U31" s="21">
        <v>49396696</v>
      </c>
      <c r="V31" s="21">
        <v>5234954</v>
      </c>
      <c r="W31" s="7">
        <v>209000</v>
      </c>
      <c r="X31" s="74">
        <f>SUM(U31:W31)</f>
        <v>54840650</v>
      </c>
      <c r="Y31" s="7">
        <v>5600000</v>
      </c>
      <c r="Z31" s="7"/>
      <c r="AA31" s="7"/>
      <c r="AB31" s="74">
        <f>SUM(Y31:AA31)</f>
        <v>5600000</v>
      </c>
      <c r="AC31" s="80">
        <f>X31+AB31</f>
        <v>60440650</v>
      </c>
      <c r="AD31" s="30">
        <v>50515371</v>
      </c>
      <c r="AE31" s="30">
        <v>5234954</v>
      </c>
      <c r="AF31" s="30">
        <v>209000</v>
      </c>
      <c r="AG31" s="74">
        <f>SUM(AD31:AF31)</f>
        <v>55959325</v>
      </c>
      <c r="AH31" s="30">
        <v>4100000</v>
      </c>
      <c r="AI31" s="7"/>
      <c r="AJ31" s="7"/>
      <c r="AK31" s="74">
        <f>SUM(AH31:AJ31)</f>
        <v>4100000</v>
      </c>
      <c r="AL31" s="80">
        <f t="shared" si="5"/>
        <v>60059325</v>
      </c>
      <c r="AM31" s="7">
        <v>56987931</v>
      </c>
      <c r="AN31" s="7">
        <v>5234954</v>
      </c>
      <c r="AO31" s="19">
        <v>209000</v>
      </c>
      <c r="AP31" s="74">
        <f>SUM(AM31:AO31)</f>
        <v>62431885</v>
      </c>
      <c r="AQ31" s="7">
        <v>6100000</v>
      </c>
      <c r="AR31" s="7">
        <v>0</v>
      </c>
      <c r="AS31" s="7">
        <v>0</v>
      </c>
      <c r="AT31" s="74">
        <f>SUM(AQ31:AS31)</f>
        <v>6100000</v>
      </c>
      <c r="AU31" s="80">
        <f t="shared" si="36"/>
        <v>68531885</v>
      </c>
      <c r="AV31" s="7">
        <v>61908015</v>
      </c>
      <c r="AW31" s="7">
        <v>5234954</v>
      </c>
      <c r="AX31" s="7">
        <v>209000</v>
      </c>
      <c r="AY31" s="98">
        <f t="shared" si="15"/>
        <v>67351969</v>
      </c>
      <c r="AZ31" s="7">
        <v>7000000</v>
      </c>
      <c r="BA31" s="7">
        <v>0</v>
      </c>
      <c r="BB31" s="7">
        <v>0</v>
      </c>
      <c r="BC31" s="98">
        <f t="shared" si="6"/>
        <v>7000000</v>
      </c>
      <c r="BD31" s="80">
        <f t="shared" si="7"/>
        <v>74351969</v>
      </c>
    </row>
    <row r="32" spans="1:56" ht="17.25" thickBot="1" x14ac:dyDescent="0.3">
      <c r="A32" s="88" t="s">
        <v>122</v>
      </c>
      <c r="B32" s="6" t="s">
        <v>233</v>
      </c>
      <c r="C32" s="30">
        <v>3852500</v>
      </c>
      <c r="D32" s="30">
        <v>311300</v>
      </c>
      <c r="E32" s="30">
        <v>240000</v>
      </c>
      <c r="F32" s="145">
        <f t="shared" si="33"/>
        <v>4403800</v>
      </c>
      <c r="G32" s="30">
        <v>0</v>
      </c>
      <c r="H32" s="30">
        <v>0</v>
      </c>
      <c r="I32" s="30">
        <v>0</v>
      </c>
      <c r="J32" s="144">
        <f t="shared" si="37"/>
        <v>0</v>
      </c>
      <c r="K32" s="146">
        <f t="shared" si="11"/>
        <v>4403800</v>
      </c>
      <c r="L32" s="140">
        <v>3521633.6439999999</v>
      </c>
      <c r="M32" s="140">
        <v>237819.12099999998</v>
      </c>
      <c r="N32" s="140">
        <v>280000</v>
      </c>
      <c r="O32" s="145">
        <f t="shared" si="1"/>
        <v>4039452.7649999997</v>
      </c>
      <c r="P32" s="140">
        <v>347407.64400000003</v>
      </c>
      <c r="Q32" s="30"/>
      <c r="R32" s="30"/>
      <c r="S32" s="144">
        <f t="shared" si="2"/>
        <v>347407.64400000003</v>
      </c>
      <c r="T32" s="146">
        <f t="shared" si="3"/>
        <v>4386860.409</v>
      </c>
      <c r="U32" s="7">
        <v>4746374</v>
      </c>
      <c r="V32" s="7">
        <v>430385</v>
      </c>
      <c r="W32" s="7">
        <v>280000</v>
      </c>
      <c r="X32" s="74">
        <f>SUM(U32:W32)</f>
        <v>5456759</v>
      </c>
      <c r="Y32" s="7">
        <v>2677400</v>
      </c>
      <c r="Z32" s="7"/>
      <c r="AA32" s="7"/>
      <c r="AB32" s="74">
        <f>SUM(Y32:AA32)</f>
        <v>2677400</v>
      </c>
      <c r="AC32" s="80">
        <f>X32+AB32</f>
        <v>8134159</v>
      </c>
      <c r="AD32" s="30">
        <v>5963774</v>
      </c>
      <c r="AE32" s="30">
        <v>0</v>
      </c>
      <c r="AF32" s="30">
        <v>710385</v>
      </c>
      <c r="AG32" s="74">
        <f>SUM(AD32:AF32)</f>
        <v>6674159</v>
      </c>
      <c r="AH32" s="30">
        <v>2200000</v>
      </c>
      <c r="AI32" s="7"/>
      <c r="AJ32" s="7"/>
      <c r="AK32" s="74">
        <f>SUM(AH32:AJ32)</f>
        <v>2200000</v>
      </c>
      <c r="AL32" s="80">
        <f t="shared" si="5"/>
        <v>8874159</v>
      </c>
      <c r="AM32" s="7">
        <v>6662937</v>
      </c>
      <c r="AN32" s="7">
        <v>0</v>
      </c>
      <c r="AO32" s="7">
        <v>710385</v>
      </c>
      <c r="AP32" s="74">
        <f>SUM(AM32:AO32)</f>
        <v>7373322</v>
      </c>
      <c r="AQ32" s="7">
        <v>2200000</v>
      </c>
      <c r="AR32" s="7">
        <v>0</v>
      </c>
      <c r="AS32" s="7">
        <v>0</v>
      </c>
      <c r="AT32" s="74">
        <f>SUM(AQ32:AS32)</f>
        <v>2200000</v>
      </c>
      <c r="AU32" s="80">
        <f t="shared" si="36"/>
        <v>9573322</v>
      </c>
      <c r="AV32" s="7">
        <v>7194402</v>
      </c>
      <c r="AW32" s="7">
        <v>0</v>
      </c>
      <c r="AX32" s="7">
        <v>710385</v>
      </c>
      <c r="AY32" s="98">
        <f t="shared" si="15"/>
        <v>7904787</v>
      </c>
      <c r="AZ32" s="7">
        <v>2000000</v>
      </c>
      <c r="BA32" s="7">
        <v>0</v>
      </c>
      <c r="BB32" s="7">
        <v>0</v>
      </c>
      <c r="BC32" s="98">
        <f t="shared" si="6"/>
        <v>2000000</v>
      </c>
      <c r="BD32" s="80">
        <f t="shared" si="7"/>
        <v>9904787</v>
      </c>
    </row>
    <row r="33" spans="1:56" ht="17.25" thickBot="1" x14ac:dyDescent="0.3">
      <c r="A33" s="88" t="s">
        <v>124</v>
      </c>
      <c r="B33" s="6" t="s">
        <v>41</v>
      </c>
      <c r="C33" s="30">
        <v>58500</v>
      </c>
      <c r="D33" s="30">
        <v>0</v>
      </c>
      <c r="E33" s="30">
        <v>20000</v>
      </c>
      <c r="F33" s="145">
        <f t="shared" si="33"/>
        <v>78500</v>
      </c>
      <c r="G33" s="30">
        <v>1500000</v>
      </c>
      <c r="H33" s="30">
        <v>0</v>
      </c>
      <c r="I33" s="30">
        <v>0</v>
      </c>
      <c r="J33" s="144">
        <f t="shared" si="37"/>
        <v>1500000</v>
      </c>
      <c r="K33" s="146">
        <f t="shared" si="11"/>
        <v>1578500</v>
      </c>
      <c r="L33" s="30">
        <v>0</v>
      </c>
      <c r="M33" s="30">
        <v>0</v>
      </c>
      <c r="N33" s="140">
        <v>20000</v>
      </c>
      <c r="O33" s="145">
        <f t="shared" si="1"/>
        <v>20000</v>
      </c>
      <c r="P33" s="140">
        <v>3773500</v>
      </c>
      <c r="Q33" s="30"/>
      <c r="R33" s="30"/>
      <c r="S33" s="144">
        <f t="shared" si="2"/>
        <v>3773500</v>
      </c>
      <c r="T33" s="146">
        <f t="shared" si="3"/>
        <v>3793500</v>
      </c>
      <c r="U33" s="7">
        <v>15980</v>
      </c>
      <c r="V33" s="7">
        <v>0</v>
      </c>
      <c r="W33" s="7">
        <v>20000</v>
      </c>
      <c r="X33" s="74">
        <f>U33+V33+W33</f>
        <v>35980</v>
      </c>
      <c r="Y33" s="7">
        <v>2000000</v>
      </c>
      <c r="Z33" s="7"/>
      <c r="AA33" s="7"/>
      <c r="AB33" s="74">
        <f>SUM(Y33:AA33)</f>
        <v>2000000</v>
      </c>
      <c r="AC33" s="80">
        <f>X33+AB33</f>
        <v>2035980</v>
      </c>
      <c r="AD33" s="35">
        <v>0</v>
      </c>
      <c r="AE33" s="35">
        <v>0</v>
      </c>
      <c r="AF33" s="35">
        <v>20000</v>
      </c>
      <c r="AG33" s="74">
        <f>AD33+AE33+AF33</f>
        <v>20000</v>
      </c>
      <c r="AH33" s="7">
        <v>2000000</v>
      </c>
      <c r="AI33" s="7"/>
      <c r="AJ33" s="7"/>
      <c r="AK33" s="74">
        <f>SUM(AH33:AJ33)</f>
        <v>2000000</v>
      </c>
      <c r="AL33" s="80">
        <f t="shared" si="5"/>
        <v>2020000</v>
      </c>
      <c r="AM33" s="7">
        <v>0</v>
      </c>
      <c r="AN33" s="7">
        <v>0</v>
      </c>
      <c r="AO33" s="7">
        <v>20000</v>
      </c>
      <c r="AP33" s="74">
        <f>AM33+AN33+AO33</f>
        <v>20000</v>
      </c>
      <c r="AQ33" s="7">
        <v>3500000</v>
      </c>
      <c r="AR33" s="7">
        <v>0</v>
      </c>
      <c r="AS33" s="7">
        <v>0</v>
      </c>
      <c r="AT33" s="74">
        <f>SUM(AQ33:AS33)</f>
        <v>3500000</v>
      </c>
      <c r="AU33" s="80">
        <f t="shared" si="36"/>
        <v>3520000</v>
      </c>
      <c r="AV33" s="7">
        <v>0</v>
      </c>
      <c r="AW33" s="7">
        <v>0</v>
      </c>
      <c r="AX33" s="7">
        <v>20000</v>
      </c>
      <c r="AY33" s="98">
        <f t="shared" si="15"/>
        <v>20000</v>
      </c>
      <c r="AZ33" s="7">
        <v>2000000</v>
      </c>
      <c r="BA33" s="7">
        <v>0</v>
      </c>
      <c r="BB33" s="7">
        <v>0</v>
      </c>
      <c r="BC33" s="98">
        <f t="shared" si="6"/>
        <v>2000000</v>
      </c>
      <c r="BD33" s="80">
        <f t="shared" si="7"/>
        <v>2020000</v>
      </c>
    </row>
    <row r="34" spans="1:56" ht="17.25" thickBot="1" x14ac:dyDescent="0.3">
      <c r="A34" s="89" t="s">
        <v>123</v>
      </c>
      <c r="B34" s="6" t="s">
        <v>43</v>
      </c>
      <c r="C34" s="30">
        <v>139500</v>
      </c>
      <c r="D34" s="30">
        <v>113700</v>
      </c>
      <c r="E34" s="30">
        <v>0</v>
      </c>
      <c r="F34" s="145">
        <f t="shared" si="33"/>
        <v>253200</v>
      </c>
      <c r="G34" s="102">
        <v>0</v>
      </c>
      <c r="H34" s="167">
        <v>0</v>
      </c>
      <c r="I34" s="168">
        <v>0</v>
      </c>
      <c r="J34" s="144">
        <f t="shared" si="37"/>
        <v>0</v>
      </c>
      <c r="K34" s="146">
        <f t="shared" si="11"/>
        <v>253200</v>
      </c>
      <c r="L34" s="140">
        <v>159942.41099999999</v>
      </c>
      <c r="M34" s="140">
        <v>121462.985</v>
      </c>
      <c r="N34" s="30">
        <v>0</v>
      </c>
      <c r="O34" s="145">
        <f t="shared" si="1"/>
        <v>281405.39600000001</v>
      </c>
      <c r="P34" s="30">
        <v>0</v>
      </c>
      <c r="Q34" s="30"/>
      <c r="R34" s="30">
        <v>0</v>
      </c>
      <c r="S34" s="144">
        <f t="shared" si="2"/>
        <v>0</v>
      </c>
      <c r="T34" s="146">
        <f t="shared" si="3"/>
        <v>281405.39600000001</v>
      </c>
      <c r="U34" s="7">
        <v>133842</v>
      </c>
      <c r="V34" s="7">
        <v>199000</v>
      </c>
      <c r="W34" s="7">
        <v>0</v>
      </c>
      <c r="X34" s="74">
        <f>SUM(U34:W34)</f>
        <v>332842</v>
      </c>
      <c r="Y34" s="7">
        <v>0</v>
      </c>
      <c r="Z34" s="7"/>
      <c r="AA34" s="7">
        <v>0</v>
      </c>
      <c r="AB34" s="74">
        <f>SUM(Y34:AA34)</f>
        <v>0</v>
      </c>
      <c r="AC34" s="80">
        <f>X34+AB34</f>
        <v>332842</v>
      </c>
      <c r="AD34" s="30">
        <v>139993</v>
      </c>
      <c r="AE34" s="30">
        <v>229000</v>
      </c>
      <c r="AF34" s="30">
        <v>0</v>
      </c>
      <c r="AG34" s="74">
        <f>SUM(AD34:AF34)</f>
        <v>368993</v>
      </c>
      <c r="AH34" s="7">
        <v>0</v>
      </c>
      <c r="AI34" s="7"/>
      <c r="AJ34" s="7">
        <v>0</v>
      </c>
      <c r="AK34" s="74">
        <f>SUM(AH34:AJ34)</f>
        <v>0</v>
      </c>
      <c r="AL34" s="80">
        <f t="shared" si="5"/>
        <v>368993</v>
      </c>
      <c r="AM34" s="7">
        <v>158786</v>
      </c>
      <c r="AN34" s="7">
        <v>229000</v>
      </c>
      <c r="AO34" s="7">
        <v>0</v>
      </c>
      <c r="AP34" s="74">
        <f>SUM(AM34:AO34)</f>
        <v>387786</v>
      </c>
      <c r="AQ34" s="7">
        <v>0</v>
      </c>
      <c r="AR34" s="7">
        <v>0</v>
      </c>
      <c r="AS34" s="7">
        <v>0</v>
      </c>
      <c r="AT34" s="74">
        <f>SUM(AQ34:AS34)</f>
        <v>0</v>
      </c>
      <c r="AU34" s="80">
        <f t="shared" si="36"/>
        <v>387786</v>
      </c>
      <c r="AV34" s="7">
        <v>173072</v>
      </c>
      <c r="AW34" s="7">
        <v>229000</v>
      </c>
      <c r="AX34" s="7">
        <v>0</v>
      </c>
      <c r="AY34" s="98">
        <f t="shared" si="15"/>
        <v>402072</v>
      </c>
      <c r="AZ34" s="7">
        <v>0</v>
      </c>
      <c r="BA34" s="7">
        <v>0</v>
      </c>
      <c r="BB34" s="7">
        <v>0</v>
      </c>
      <c r="BC34" s="98">
        <f t="shared" si="6"/>
        <v>0</v>
      </c>
      <c r="BD34" s="80">
        <f t="shared" si="7"/>
        <v>402072</v>
      </c>
    </row>
    <row r="35" spans="1:56" ht="17.25" thickBot="1" x14ac:dyDescent="0.3">
      <c r="A35" s="171" t="s">
        <v>44</v>
      </c>
      <c r="B35" s="172"/>
      <c r="C35" s="141">
        <f>C36+C37+C38+C39</f>
        <v>7233307</v>
      </c>
      <c r="D35" s="141">
        <f>D36+D37+D38+D39</f>
        <v>4157363.8969999999</v>
      </c>
      <c r="E35" s="142">
        <f>E36+E37+E38+E39</f>
        <v>14939564.682</v>
      </c>
      <c r="F35" s="145">
        <f t="shared" si="33"/>
        <v>26330235.579</v>
      </c>
      <c r="G35" s="142">
        <f>G36+G37+G38+G39</f>
        <v>22486200.000000004</v>
      </c>
      <c r="H35" s="142">
        <f>H36+H37+H38+H39</f>
        <v>35622043.445933655</v>
      </c>
      <c r="I35" s="142">
        <f>I36+I37+I38+I39</f>
        <v>35622043.445933655</v>
      </c>
      <c r="J35" s="143">
        <f>G35+H35</f>
        <v>58108243.445933655</v>
      </c>
      <c r="K35" s="146">
        <f t="shared" si="11"/>
        <v>84438479.024933651</v>
      </c>
      <c r="L35" s="141">
        <f>L36+L38+L37+L39</f>
        <v>8303698.3640000001</v>
      </c>
      <c r="M35" s="141">
        <f>M36+M38+M37+M39</f>
        <v>7351864.3140000002</v>
      </c>
      <c r="N35" s="141">
        <f>N36+N38+N37+N39</f>
        <v>11696641.380000001</v>
      </c>
      <c r="O35" s="143">
        <f t="shared" si="1"/>
        <v>27352204.057999998</v>
      </c>
      <c r="P35" s="141">
        <f>P36+P38+P37+P39</f>
        <v>10690178.776000001</v>
      </c>
      <c r="Q35" s="141">
        <f>Q36+Q38+Q37+Q39</f>
        <v>14238314.998</v>
      </c>
      <c r="R35" s="141">
        <f>R36+R38+R37+R39</f>
        <v>44039496.251764402</v>
      </c>
      <c r="S35" s="157">
        <f t="shared" si="2"/>
        <v>68967990.025764406</v>
      </c>
      <c r="T35" s="146">
        <f>T36+T37+T38+T39</f>
        <v>96320194.083764389</v>
      </c>
      <c r="U35" s="5">
        <f t="shared" ref="U35:AC35" si="38">U36+U38+U37+U39</f>
        <v>8637840</v>
      </c>
      <c r="V35" s="5">
        <f t="shared" si="38"/>
        <v>12556016</v>
      </c>
      <c r="W35" s="5">
        <f t="shared" si="38"/>
        <v>20744823</v>
      </c>
      <c r="X35" s="73">
        <f t="shared" si="38"/>
        <v>41938679</v>
      </c>
      <c r="Y35" s="5">
        <f t="shared" si="38"/>
        <v>28294572</v>
      </c>
      <c r="Z35" s="5">
        <f t="shared" si="38"/>
        <v>14916476</v>
      </c>
      <c r="AA35" s="5">
        <f t="shared" si="38"/>
        <v>32227028</v>
      </c>
      <c r="AB35" s="73">
        <f t="shared" si="38"/>
        <v>75438076</v>
      </c>
      <c r="AC35" s="80">
        <f t="shared" si="38"/>
        <v>117376755</v>
      </c>
      <c r="AD35" s="5">
        <f t="shared" ref="AD35:AT35" si="39">AD36+AD38+AD37+AD39</f>
        <v>10365290</v>
      </c>
      <c r="AE35" s="5">
        <f t="shared" si="39"/>
        <v>12556016</v>
      </c>
      <c r="AF35" s="5">
        <f t="shared" si="39"/>
        <v>38623588</v>
      </c>
      <c r="AG35" s="73">
        <f t="shared" si="39"/>
        <v>61544894</v>
      </c>
      <c r="AH35" s="5">
        <f t="shared" si="39"/>
        <v>33050573</v>
      </c>
      <c r="AI35" s="5">
        <f t="shared" si="39"/>
        <v>10983803</v>
      </c>
      <c r="AJ35" s="5">
        <f t="shared" si="39"/>
        <v>42016742.000999995</v>
      </c>
      <c r="AK35" s="73">
        <f t="shared" si="39"/>
        <v>86051118.001000002</v>
      </c>
      <c r="AL35" s="80">
        <f t="shared" si="39"/>
        <v>147596012.00100002</v>
      </c>
      <c r="AM35" s="5">
        <f t="shared" si="39"/>
        <v>10943811</v>
      </c>
      <c r="AN35" s="5">
        <f t="shared" si="39"/>
        <v>12556015</v>
      </c>
      <c r="AO35" s="5">
        <f t="shared" si="39"/>
        <v>38623589</v>
      </c>
      <c r="AP35" s="73">
        <f t="shared" si="39"/>
        <v>62123415</v>
      </c>
      <c r="AQ35" s="5">
        <f t="shared" si="39"/>
        <v>40890972</v>
      </c>
      <c r="AR35" s="5">
        <f t="shared" si="39"/>
        <v>6850924</v>
      </c>
      <c r="AS35" s="5">
        <f t="shared" si="39"/>
        <v>24364000</v>
      </c>
      <c r="AT35" s="73">
        <f t="shared" si="39"/>
        <v>72105896</v>
      </c>
      <c r="AU35" s="80">
        <f t="shared" si="36"/>
        <v>134229311</v>
      </c>
      <c r="AV35" s="5">
        <f>AV36+AV37+AV38+AV39</f>
        <v>11469194</v>
      </c>
      <c r="AW35" s="5">
        <f>AW36+AW37+AW38+AW39</f>
        <v>12556015</v>
      </c>
      <c r="AX35" s="5">
        <f>AX36+AX37+AX38+AX39</f>
        <v>38637059</v>
      </c>
      <c r="AY35" s="73">
        <f t="shared" si="15"/>
        <v>62662268</v>
      </c>
      <c r="AZ35" s="5">
        <f>AZ36+AZ37+AZ38+AZ39</f>
        <v>47173972</v>
      </c>
      <c r="BA35" s="5">
        <f>BA36+BA37+BA38+BA39</f>
        <v>4383260</v>
      </c>
      <c r="BB35" s="5">
        <f>BB36+BB37+BB38+BB39</f>
        <v>17385000</v>
      </c>
      <c r="BC35" s="73">
        <f t="shared" si="6"/>
        <v>68942232</v>
      </c>
      <c r="BD35" s="80">
        <f t="shared" si="7"/>
        <v>131604500</v>
      </c>
    </row>
    <row r="36" spans="1:56" ht="17.25" thickBot="1" x14ac:dyDescent="0.35">
      <c r="A36" s="88" t="s">
        <v>42</v>
      </c>
      <c r="B36" s="6" t="s">
        <v>46</v>
      </c>
      <c r="C36" s="30">
        <v>1261809</v>
      </c>
      <c r="D36" s="30">
        <v>2515397.8369999998</v>
      </c>
      <c r="E36" s="30">
        <v>339000</v>
      </c>
      <c r="F36" s="145">
        <f t="shared" si="33"/>
        <v>4116206.8369999998</v>
      </c>
      <c r="G36" s="30">
        <v>2363690.1645626943</v>
      </c>
      <c r="H36" s="30">
        <v>0</v>
      </c>
      <c r="I36" s="140">
        <v>0</v>
      </c>
      <c r="J36" s="144">
        <f>G36+H36</f>
        <v>2363690.1645626943</v>
      </c>
      <c r="K36" s="146">
        <f t="shared" si="11"/>
        <v>6479897.0015626941</v>
      </c>
      <c r="L36" s="140">
        <v>1206928.8870000001</v>
      </c>
      <c r="M36" s="140">
        <v>3182077.6990000005</v>
      </c>
      <c r="N36" s="140">
        <v>292730.38</v>
      </c>
      <c r="O36" s="145">
        <f t="shared" si="1"/>
        <v>4681736.9660000009</v>
      </c>
      <c r="P36" s="140">
        <v>181629.57599999997</v>
      </c>
      <c r="Q36" s="209">
        <v>0</v>
      </c>
      <c r="R36" s="140">
        <v>0</v>
      </c>
      <c r="S36" s="144">
        <f t="shared" si="2"/>
        <v>181629.57599999997</v>
      </c>
      <c r="T36" s="146">
        <f t="shared" si="3"/>
        <v>4863366.5420000013</v>
      </c>
      <c r="U36" s="21">
        <v>1008673</v>
      </c>
      <c r="V36" s="21">
        <v>7129380</v>
      </c>
      <c r="W36" s="21">
        <v>746837</v>
      </c>
      <c r="X36" s="74">
        <f>SUM(U36:W36)</f>
        <v>8884890</v>
      </c>
      <c r="Y36" s="21">
        <v>971114</v>
      </c>
      <c r="Z36" s="21">
        <v>0</v>
      </c>
      <c r="AA36" s="21">
        <v>0</v>
      </c>
      <c r="AB36" s="74">
        <f>SUM(Y36:AA36)</f>
        <v>971114</v>
      </c>
      <c r="AC36" s="80">
        <f t="shared" ref="AC36:AC43" si="40">X36+AB36</f>
        <v>9856004</v>
      </c>
      <c r="AD36" s="28">
        <v>2771100</v>
      </c>
      <c r="AE36" s="36">
        <v>7007660</v>
      </c>
      <c r="AF36" s="36">
        <v>586837</v>
      </c>
      <c r="AG36" s="74">
        <f>SUM(AD36:AF36)</f>
        <v>10365597</v>
      </c>
      <c r="AH36" s="28">
        <v>863920</v>
      </c>
      <c r="AI36" s="28"/>
      <c r="AJ36" s="28"/>
      <c r="AK36" s="74">
        <f>SUM(AH36:AJ36)</f>
        <v>863920</v>
      </c>
      <c r="AL36" s="80">
        <f t="shared" si="5"/>
        <v>11229517</v>
      </c>
      <c r="AM36" s="7">
        <v>2918552</v>
      </c>
      <c r="AN36" s="7">
        <v>7007659</v>
      </c>
      <c r="AO36" s="7">
        <v>586837</v>
      </c>
      <c r="AP36" s="74">
        <f>SUM(AM36:AO36)</f>
        <v>10513048</v>
      </c>
      <c r="AQ36" s="7">
        <v>1068863</v>
      </c>
      <c r="AR36" s="19">
        <v>0</v>
      </c>
      <c r="AS36" s="7">
        <v>0</v>
      </c>
      <c r="AT36" s="74">
        <f>SUM(AQ36:AS36)</f>
        <v>1068863</v>
      </c>
      <c r="AU36" s="80">
        <f t="shared" si="36"/>
        <v>11581911</v>
      </c>
      <c r="AV36" s="7">
        <v>3052460</v>
      </c>
      <c r="AW36" s="7">
        <v>7007659</v>
      </c>
      <c r="AX36" s="7">
        <v>586837</v>
      </c>
      <c r="AY36" s="98">
        <f t="shared" si="15"/>
        <v>10646956</v>
      </c>
      <c r="AZ36" s="7">
        <v>1233097</v>
      </c>
      <c r="BA36" s="7"/>
      <c r="BB36" s="7"/>
      <c r="BC36" s="98">
        <f t="shared" si="6"/>
        <v>1233097</v>
      </c>
      <c r="BD36" s="80">
        <f t="shared" si="7"/>
        <v>11880053</v>
      </c>
    </row>
    <row r="37" spans="1:56" ht="17.25" thickBot="1" x14ac:dyDescent="0.35">
      <c r="A37" s="88" t="s">
        <v>45</v>
      </c>
      <c r="B37" s="6" t="s">
        <v>48</v>
      </c>
      <c r="C37" s="30">
        <v>4985554</v>
      </c>
      <c r="D37" s="30">
        <v>1371593.1169999999</v>
      </c>
      <c r="E37" s="30">
        <v>14600564.682</v>
      </c>
      <c r="F37" s="145">
        <f t="shared" si="33"/>
        <v>20957711.798999999</v>
      </c>
      <c r="G37" s="30">
        <v>14795919.939380994</v>
      </c>
      <c r="H37" s="30">
        <v>35622043.445933655</v>
      </c>
      <c r="I37" s="140">
        <v>35622043.445933655</v>
      </c>
      <c r="J37" s="144">
        <f t="shared" ref="J37:J39" si="41">G37+H37</f>
        <v>50417963.385314651</v>
      </c>
      <c r="K37" s="146">
        <f t="shared" si="11"/>
        <v>71375675.184314653</v>
      </c>
      <c r="L37" s="140">
        <v>6687457.3689999999</v>
      </c>
      <c r="M37" s="140">
        <v>3820180.1660000002</v>
      </c>
      <c r="N37" s="140">
        <v>11403911</v>
      </c>
      <c r="O37" s="145">
        <f t="shared" si="1"/>
        <v>21911548.535</v>
      </c>
      <c r="P37" s="140">
        <v>6959115.267</v>
      </c>
      <c r="Q37" s="209">
        <v>14109481.998</v>
      </c>
      <c r="R37" s="210">
        <v>43987789.0157644</v>
      </c>
      <c r="S37" s="144">
        <f t="shared" si="2"/>
        <v>65056386.280764401</v>
      </c>
      <c r="T37" s="146">
        <f t="shared" si="3"/>
        <v>86967934.815764397</v>
      </c>
      <c r="U37" s="21">
        <v>6043052</v>
      </c>
      <c r="V37" s="21">
        <v>4530122</v>
      </c>
      <c r="W37" s="21">
        <v>19997986</v>
      </c>
      <c r="X37" s="74">
        <f>SUM(U37:W37)</f>
        <v>30571160</v>
      </c>
      <c r="Y37" s="21">
        <v>17832026</v>
      </c>
      <c r="Z37" s="21">
        <v>13610559</v>
      </c>
      <c r="AA37" s="21">
        <v>29234364</v>
      </c>
      <c r="AB37" s="74">
        <f>SUM(Y37:AA37)</f>
        <v>60676949</v>
      </c>
      <c r="AC37" s="80">
        <f t="shared" si="40"/>
        <v>91248109</v>
      </c>
      <c r="AD37" s="30">
        <v>6592120</v>
      </c>
      <c r="AE37" s="30">
        <v>4592842</v>
      </c>
      <c r="AF37" s="30">
        <v>37836751</v>
      </c>
      <c r="AG37" s="74">
        <f>SUM(AD37:AF37)</f>
        <v>49021713</v>
      </c>
      <c r="AH37" s="30">
        <v>20552562</v>
      </c>
      <c r="AI37" s="30">
        <v>9866831</v>
      </c>
      <c r="AJ37" s="30">
        <v>34078389.077</v>
      </c>
      <c r="AK37" s="74">
        <f>SUM(AH37:AJ37)</f>
        <v>64497782.077</v>
      </c>
      <c r="AL37" s="80">
        <f t="shared" si="5"/>
        <v>113519495.07699999</v>
      </c>
      <c r="AM37" s="7">
        <v>6968418</v>
      </c>
      <c r="AN37" s="7">
        <v>4592842</v>
      </c>
      <c r="AO37" s="7">
        <v>37836752</v>
      </c>
      <c r="AP37" s="74">
        <f>SUM(AM37:AO37)</f>
        <v>49398012</v>
      </c>
      <c r="AQ37" s="7">
        <v>25428129</v>
      </c>
      <c r="AR37" s="7">
        <v>6154236</v>
      </c>
      <c r="AS37" s="7">
        <v>19760834</v>
      </c>
      <c r="AT37" s="74">
        <f>SUM(AQ37:AS37)</f>
        <v>51343199</v>
      </c>
      <c r="AU37" s="80">
        <f t="shared" si="36"/>
        <v>100741211</v>
      </c>
      <c r="AV37" s="7">
        <v>7310153</v>
      </c>
      <c r="AW37" s="7">
        <v>4592842</v>
      </c>
      <c r="AX37" s="7">
        <v>37850222</v>
      </c>
      <c r="AY37" s="98">
        <f t="shared" si="15"/>
        <v>49753217</v>
      </c>
      <c r="AZ37" s="7">
        <v>29335225</v>
      </c>
      <c r="BA37" s="7">
        <v>3937515</v>
      </c>
      <c r="BB37" s="7">
        <v>14100398</v>
      </c>
      <c r="BC37" s="98">
        <f t="shared" si="6"/>
        <v>47373138</v>
      </c>
      <c r="BD37" s="80">
        <f t="shared" si="7"/>
        <v>97126355</v>
      </c>
    </row>
    <row r="38" spans="1:56" ht="17.25" thickBot="1" x14ac:dyDescent="0.35">
      <c r="A38" s="88" t="s">
        <v>47</v>
      </c>
      <c r="B38" s="6" t="s">
        <v>50</v>
      </c>
      <c r="C38" s="30">
        <v>388083</v>
      </c>
      <c r="D38" s="30">
        <v>133759.08300000001</v>
      </c>
      <c r="E38" s="30">
        <v>0</v>
      </c>
      <c r="F38" s="145">
        <f t="shared" si="33"/>
        <v>521842.08299999998</v>
      </c>
      <c r="G38" s="30">
        <v>2942404.731464562</v>
      </c>
      <c r="H38" s="30">
        <v>0</v>
      </c>
      <c r="I38" s="140">
        <v>0</v>
      </c>
      <c r="J38" s="144">
        <f t="shared" si="41"/>
        <v>2942404.731464562</v>
      </c>
      <c r="K38" s="146">
        <f t="shared" si="11"/>
        <v>3464246.8144645621</v>
      </c>
      <c r="L38" s="140">
        <v>409312.10800000001</v>
      </c>
      <c r="M38" s="140">
        <v>204569.682</v>
      </c>
      <c r="N38" s="30">
        <v>0</v>
      </c>
      <c r="O38" s="145">
        <f t="shared" si="1"/>
        <v>613881.79</v>
      </c>
      <c r="P38" s="140">
        <v>1829840.56</v>
      </c>
      <c r="Q38" s="209">
        <v>128833</v>
      </c>
      <c r="R38" s="140">
        <v>51707.236000000004</v>
      </c>
      <c r="S38" s="144">
        <f t="shared" si="2"/>
        <v>2010380.7960000001</v>
      </c>
      <c r="T38" s="146">
        <f t="shared" si="3"/>
        <v>2624262.5860000001</v>
      </c>
      <c r="U38" s="21">
        <v>1330780</v>
      </c>
      <c r="V38" s="21">
        <v>413370</v>
      </c>
      <c r="W38" s="21">
        <v>0</v>
      </c>
      <c r="X38" s="74">
        <f>SUM(U38:W38)</f>
        <v>1744150</v>
      </c>
      <c r="Y38" s="21">
        <v>4836916</v>
      </c>
      <c r="Z38" s="21">
        <v>1220611</v>
      </c>
      <c r="AA38" s="21">
        <v>1395109</v>
      </c>
      <c r="AB38" s="74">
        <f>SUM(Y38:AA38)</f>
        <v>7452636</v>
      </c>
      <c r="AC38" s="80">
        <f t="shared" si="40"/>
        <v>9196786</v>
      </c>
      <c r="AD38" s="30">
        <v>507992</v>
      </c>
      <c r="AE38" s="30">
        <v>442370</v>
      </c>
      <c r="AF38" s="30">
        <v>150000</v>
      </c>
      <c r="AG38" s="74">
        <f>SUM(AD38:AF38)</f>
        <v>1100362</v>
      </c>
      <c r="AH38" s="30">
        <v>6434777</v>
      </c>
      <c r="AI38" s="30">
        <v>1116972</v>
      </c>
      <c r="AJ38" s="30">
        <v>6340798.2050000001</v>
      </c>
      <c r="AK38" s="74">
        <f>SUM(AH38:AJ38)</f>
        <v>13892547.205</v>
      </c>
      <c r="AL38" s="80">
        <f t="shared" si="5"/>
        <v>14992909.205</v>
      </c>
      <c r="AM38" s="7">
        <v>536140</v>
      </c>
      <c r="AN38" s="7">
        <v>442370</v>
      </c>
      <c r="AO38" s="7">
        <v>150000</v>
      </c>
      <c r="AP38" s="74">
        <f>SUM(AM38:AO38)</f>
        <v>1128510</v>
      </c>
      <c r="AQ38" s="7">
        <v>7961263</v>
      </c>
      <c r="AR38" s="7">
        <v>696688</v>
      </c>
      <c r="AS38" s="7">
        <v>3676801</v>
      </c>
      <c r="AT38" s="74">
        <f>SUM(AQ38:AS38)</f>
        <v>12334752</v>
      </c>
      <c r="AU38" s="80">
        <f t="shared" si="36"/>
        <v>13463262</v>
      </c>
      <c r="AV38" s="7">
        <v>561703</v>
      </c>
      <c r="AW38" s="7">
        <v>442370</v>
      </c>
      <c r="AX38" s="7">
        <v>150000</v>
      </c>
      <c r="AY38" s="98">
        <f t="shared" si="15"/>
        <v>1154073</v>
      </c>
      <c r="AZ38" s="7">
        <v>9184530</v>
      </c>
      <c r="BA38" s="7">
        <v>445745</v>
      </c>
      <c r="BB38" s="7">
        <v>2623592</v>
      </c>
      <c r="BC38" s="98">
        <f t="shared" si="6"/>
        <v>12253867</v>
      </c>
      <c r="BD38" s="80">
        <f t="shared" si="7"/>
        <v>13407940</v>
      </c>
    </row>
    <row r="39" spans="1:56" ht="17.25" thickBot="1" x14ac:dyDescent="0.35">
      <c r="A39" s="89" t="s">
        <v>49</v>
      </c>
      <c r="B39" s="6" t="s">
        <v>52</v>
      </c>
      <c r="C39" s="30">
        <v>597861</v>
      </c>
      <c r="D39" s="30">
        <v>136613.85999999999</v>
      </c>
      <c r="E39" s="30">
        <v>0</v>
      </c>
      <c r="F39" s="145">
        <f t="shared" si="33"/>
        <v>734474.86</v>
      </c>
      <c r="G39" s="30">
        <v>2384185.1645917553</v>
      </c>
      <c r="H39" s="30">
        <v>0</v>
      </c>
      <c r="I39" s="140">
        <v>0</v>
      </c>
      <c r="J39" s="144">
        <f t="shared" si="41"/>
        <v>2384185.1645917553</v>
      </c>
      <c r="K39" s="146">
        <f t="shared" si="11"/>
        <v>3118660.0245917551</v>
      </c>
      <c r="L39" s="140">
        <v>0</v>
      </c>
      <c r="M39" s="140">
        <v>145036.76699999999</v>
      </c>
      <c r="N39" s="30">
        <v>0</v>
      </c>
      <c r="O39" s="145">
        <f t="shared" si="1"/>
        <v>145036.76699999999</v>
      </c>
      <c r="P39" s="140">
        <v>1719593.3729999999</v>
      </c>
      <c r="Q39" s="209">
        <v>0</v>
      </c>
      <c r="R39" s="140">
        <v>0</v>
      </c>
      <c r="S39" s="144">
        <f t="shared" si="2"/>
        <v>1719593.3729999999</v>
      </c>
      <c r="T39" s="146">
        <f t="shared" si="3"/>
        <v>1864630.14</v>
      </c>
      <c r="U39" s="21">
        <v>255335</v>
      </c>
      <c r="V39" s="21">
        <v>483144</v>
      </c>
      <c r="W39" s="21">
        <v>0</v>
      </c>
      <c r="X39" s="74">
        <f>SUM(U39:W39)</f>
        <v>738479</v>
      </c>
      <c r="Y39" s="21">
        <v>4654516</v>
      </c>
      <c r="Z39" s="21">
        <v>85306</v>
      </c>
      <c r="AA39" s="21">
        <v>1597555</v>
      </c>
      <c r="AB39" s="74">
        <f>SUM(Y39:AA39)</f>
        <v>6337377</v>
      </c>
      <c r="AC39" s="80">
        <f t="shared" si="40"/>
        <v>7075856</v>
      </c>
      <c r="AD39" s="35">
        <v>494078</v>
      </c>
      <c r="AE39" s="35">
        <v>513144</v>
      </c>
      <c r="AF39" s="35">
        <v>50000</v>
      </c>
      <c r="AG39" s="74">
        <f>SUM(AD39:AF39)</f>
        <v>1057222</v>
      </c>
      <c r="AH39" s="35">
        <v>5199314</v>
      </c>
      <c r="AI39" s="35">
        <v>0</v>
      </c>
      <c r="AJ39" s="35">
        <v>1597554.719</v>
      </c>
      <c r="AK39" s="74">
        <f>SUM(AH39:AJ39)</f>
        <v>6796868.7190000005</v>
      </c>
      <c r="AL39" s="80">
        <f t="shared" si="5"/>
        <v>7854090.7190000005</v>
      </c>
      <c r="AM39" s="7">
        <v>520701</v>
      </c>
      <c r="AN39" s="7">
        <v>513144</v>
      </c>
      <c r="AO39" s="7">
        <v>50000</v>
      </c>
      <c r="AP39" s="74">
        <f>SUM(AM39:AO39)</f>
        <v>1083845</v>
      </c>
      <c r="AQ39" s="7">
        <v>6432717</v>
      </c>
      <c r="AR39" s="7">
        <v>0</v>
      </c>
      <c r="AS39" s="7">
        <v>926365</v>
      </c>
      <c r="AT39" s="74">
        <f>SUM(AQ39:AS39)</f>
        <v>7359082</v>
      </c>
      <c r="AU39" s="80">
        <f t="shared" si="36"/>
        <v>8442927</v>
      </c>
      <c r="AV39" s="7">
        <v>544878</v>
      </c>
      <c r="AW39" s="7">
        <v>513144</v>
      </c>
      <c r="AX39" s="7">
        <v>50000</v>
      </c>
      <c r="AY39" s="98">
        <f t="shared" si="15"/>
        <v>1108022</v>
      </c>
      <c r="AZ39" s="7">
        <v>7421120</v>
      </c>
      <c r="BA39" s="23">
        <v>0</v>
      </c>
      <c r="BB39" s="7">
        <v>661010</v>
      </c>
      <c r="BC39" s="7">
        <f t="shared" si="6"/>
        <v>8082130</v>
      </c>
      <c r="BD39" s="80">
        <f t="shared" si="7"/>
        <v>9190152</v>
      </c>
    </row>
    <row r="40" spans="1:56" ht="17.25" thickBot="1" x14ac:dyDescent="0.3">
      <c r="A40" s="178" t="s">
        <v>53</v>
      </c>
      <c r="B40" s="179"/>
      <c r="C40" s="141">
        <f>C41+C42+C43</f>
        <v>1838332</v>
      </c>
      <c r="D40" s="141">
        <f>D41+D42+D43</f>
        <v>2778119.53</v>
      </c>
      <c r="E40" s="141">
        <f>E41+E42+E43</f>
        <v>15086461.24</v>
      </c>
      <c r="F40" s="143">
        <f>C40+D40+E40</f>
        <v>19702912.77</v>
      </c>
      <c r="G40" s="142">
        <f>G41+G42+G43</f>
        <v>20530400</v>
      </c>
      <c r="H40" s="142">
        <f>H41+H42+H43</f>
        <v>13257765</v>
      </c>
      <c r="I40" s="142">
        <f>I41+I42+I43</f>
        <v>0</v>
      </c>
      <c r="J40" s="143">
        <f>G40+H40</f>
        <v>33788165</v>
      </c>
      <c r="K40" s="146">
        <f t="shared" si="11"/>
        <v>53491077.769999996</v>
      </c>
      <c r="L40" s="141">
        <f>L41+L42+L43</f>
        <v>2510130.574</v>
      </c>
      <c r="M40" s="141">
        <f>M41+M42+M43</f>
        <v>2584425.9500000002</v>
      </c>
      <c r="N40" s="141">
        <f>N41+N42+N43</f>
        <v>21769997.414999999</v>
      </c>
      <c r="O40" s="143">
        <f t="shared" si="1"/>
        <v>26864553.938999999</v>
      </c>
      <c r="P40" s="141">
        <f>P41+P42+P43</f>
        <v>24117092.844999999</v>
      </c>
      <c r="Q40" s="141">
        <f>Q41+Q42+Q43</f>
        <v>0</v>
      </c>
      <c r="R40" s="141">
        <f>R41+R42+R43</f>
        <v>0</v>
      </c>
      <c r="S40" s="157">
        <f t="shared" si="2"/>
        <v>24117092.844999999</v>
      </c>
      <c r="T40" s="146">
        <f>T41+T42+T43</f>
        <v>50981646.784000002</v>
      </c>
      <c r="U40" s="5">
        <f>U41+U42+U43</f>
        <v>2764813</v>
      </c>
      <c r="V40" s="5">
        <f>V41+V42+V43</f>
        <v>3799315</v>
      </c>
      <c r="W40" s="5">
        <f>W41+W42+W43</f>
        <v>24439610</v>
      </c>
      <c r="X40" s="73">
        <f>U40+V40+W40</f>
        <v>31003738</v>
      </c>
      <c r="Y40" s="5">
        <f>Y41+Y42+Y43</f>
        <v>19139000</v>
      </c>
      <c r="Z40" s="5">
        <f>Z41+Z42+Z43</f>
        <v>1254747</v>
      </c>
      <c r="AA40" s="5">
        <f>AA41+AA42+AA43</f>
        <v>0</v>
      </c>
      <c r="AB40" s="73">
        <f>Y40+Z40+AA40</f>
        <v>20393747</v>
      </c>
      <c r="AC40" s="80">
        <f t="shared" si="40"/>
        <v>51397485</v>
      </c>
      <c r="AD40" s="5">
        <f>AD41+AD42+AD43</f>
        <v>2675810</v>
      </c>
      <c r="AE40" s="5">
        <f>AE41+AE42+AE43</f>
        <v>3870075</v>
      </c>
      <c r="AF40" s="5">
        <f>AF41+AF42+AF43</f>
        <v>24368850</v>
      </c>
      <c r="AG40" s="73">
        <f>AD40+AE40+AF40</f>
        <v>30914735</v>
      </c>
      <c r="AH40" s="5">
        <f>AH41+AH42+AH43</f>
        <v>13617693</v>
      </c>
      <c r="AI40" s="5">
        <f>AI41+AI42+AI43</f>
        <v>8920555</v>
      </c>
      <c r="AJ40" s="5">
        <f>AJ41+AJ42+AJ43</f>
        <v>0</v>
      </c>
      <c r="AK40" s="73">
        <f>AH40+AI40+AJ40</f>
        <v>22538248</v>
      </c>
      <c r="AL40" s="80">
        <f>AG40+AK40</f>
        <v>53452983</v>
      </c>
      <c r="AM40" s="5">
        <f>AM41+AM42+AM43</f>
        <v>2821656</v>
      </c>
      <c r="AN40" s="5">
        <f>AN41+AN42+AN43</f>
        <v>4033272</v>
      </c>
      <c r="AO40" s="5">
        <f>AO41+AO42+AO43</f>
        <v>28205652</v>
      </c>
      <c r="AP40" s="73">
        <f>AM40+AN40+AO40</f>
        <v>35060580</v>
      </c>
      <c r="AQ40" s="5">
        <f>AQ41+AQ42+AQ43</f>
        <v>18637290</v>
      </c>
      <c r="AR40" s="5">
        <f>AR41+AR42+AR43</f>
        <v>0</v>
      </c>
      <c r="AS40" s="5">
        <f>AS41+AS42+AS43</f>
        <v>0</v>
      </c>
      <c r="AT40" s="73">
        <f>AQ40+AR40+AS40</f>
        <v>18637290</v>
      </c>
      <c r="AU40" s="80">
        <f t="shared" si="36"/>
        <v>53697870</v>
      </c>
      <c r="AV40" s="5">
        <f>AV41+AV42+AV43</f>
        <v>2922938</v>
      </c>
      <c r="AW40" s="5">
        <f>AW41+AW42+AW43</f>
        <v>4033272</v>
      </c>
      <c r="AX40" s="5">
        <f>AX41+AX42+AX43</f>
        <v>28205652</v>
      </c>
      <c r="AY40" s="73">
        <f t="shared" si="15"/>
        <v>35161862</v>
      </c>
      <c r="AZ40" s="5">
        <f>AZ41+AZ42+AZ43</f>
        <v>36422311</v>
      </c>
      <c r="BA40" s="5">
        <f>BA41+BA42+BA43</f>
        <v>0</v>
      </c>
      <c r="BB40" s="5">
        <f>BB41+BB42+BB43</f>
        <v>0</v>
      </c>
      <c r="BC40" s="73">
        <f t="shared" si="6"/>
        <v>36422311</v>
      </c>
      <c r="BD40" s="80">
        <f t="shared" si="7"/>
        <v>71584173</v>
      </c>
    </row>
    <row r="41" spans="1:56" ht="17.25" thickBot="1" x14ac:dyDescent="0.3">
      <c r="A41" s="88" t="s">
        <v>51</v>
      </c>
      <c r="B41" s="8" t="s">
        <v>55</v>
      </c>
      <c r="C41" s="99">
        <v>1023153</v>
      </c>
      <c r="D41" s="140">
        <v>1800291.8059999999</v>
      </c>
      <c r="E41" s="140">
        <v>53150</v>
      </c>
      <c r="F41" s="144">
        <f>SUM(C41:E41)</f>
        <v>2876594.8059999999</v>
      </c>
      <c r="G41" s="140">
        <v>484400</v>
      </c>
      <c r="H41" s="167">
        <v>0</v>
      </c>
      <c r="I41" s="168">
        <v>0</v>
      </c>
      <c r="J41" s="144">
        <f>G41+H41</f>
        <v>484400</v>
      </c>
      <c r="K41" s="146">
        <f t="shared" si="11"/>
        <v>3360994.8059999999</v>
      </c>
      <c r="L41" s="140">
        <v>1925686.7890000001</v>
      </c>
      <c r="M41" s="140">
        <v>1712191.7039999999</v>
      </c>
      <c r="N41" s="140">
        <v>30000</v>
      </c>
      <c r="O41" s="145">
        <f t="shared" si="1"/>
        <v>3667878.4929999998</v>
      </c>
      <c r="P41" s="140">
        <v>607092.84499999997</v>
      </c>
      <c r="Q41" s="30">
        <v>0</v>
      </c>
      <c r="R41" s="30">
        <v>0</v>
      </c>
      <c r="S41" s="144">
        <f t="shared" si="2"/>
        <v>607092.84499999997</v>
      </c>
      <c r="T41" s="146">
        <f t="shared" si="3"/>
        <v>4274971.3379999995</v>
      </c>
      <c r="U41" s="7">
        <v>1171678</v>
      </c>
      <c r="V41" s="7">
        <v>1499683</v>
      </c>
      <c r="W41" s="7"/>
      <c r="X41" s="74">
        <f>SUM(U41:W41)</f>
        <v>2671361</v>
      </c>
      <c r="Y41" s="7">
        <v>800000</v>
      </c>
      <c r="Z41" s="7">
        <v>0</v>
      </c>
      <c r="AA41" s="7">
        <v>0</v>
      </c>
      <c r="AB41" s="74">
        <f>Y41+Z41+AA41</f>
        <v>800000</v>
      </c>
      <c r="AC41" s="80">
        <f t="shared" si="40"/>
        <v>3471361</v>
      </c>
      <c r="AD41" s="28">
        <v>1182243</v>
      </c>
      <c r="AE41" s="28">
        <v>1549004</v>
      </c>
      <c r="AF41" s="28">
        <v>0</v>
      </c>
      <c r="AG41" s="74">
        <f>SUM(AD41:AF41)</f>
        <v>2731247</v>
      </c>
      <c r="AH41" s="28">
        <v>114200</v>
      </c>
      <c r="AI41" s="7">
        <v>0</v>
      </c>
      <c r="AJ41" s="7">
        <v>0</v>
      </c>
      <c r="AK41" s="74">
        <f>AH41+AI41+AJ41</f>
        <v>114200</v>
      </c>
      <c r="AL41" s="80">
        <f t="shared" si="5"/>
        <v>2845447</v>
      </c>
      <c r="AM41" s="7">
        <v>1264262</v>
      </c>
      <c r="AN41" s="7">
        <v>1593786</v>
      </c>
      <c r="AO41" s="7">
        <v>0</v>
      </c>
      <c r="AP41" s="74">
        <f>SUM(AM41:AO41)</f>
        <v>2858048</v>
      </c>
      <c r="AQ41" s="7">
        <v>311234</v>
      </c>
      <c r="AR41" s="7">
        <v>0</v>
      </c>
      <c r="AS41" s="7">
        <v>0</v>
      </c>
      <c r="AT41" s="74">
        <f>AQ41+AR41+AS41</f>
        <v>311234</v>
      </c>
      <c r="AU41" s="80">
        <f t="shared" si="36"/>
        <v>3169282</v>
      </c>
      <c r="AV41" s="7">
        <v>1298906</v>
      </c>
      <c r="AW41" s="7">
        <v>1584786</v>
      </c>
      <c r="AX41" s="7">
        <v>0</v>
      </c>
      <c r="AY41" s="98">
        <f t="shared" si="15"/>
        <v>2883692</v>
      </c>
      <c r="AZ41" s="7">
        <v>0</v>
      </c>
      <c r="BA41" s="7">
        <v>0</v>
      </c>
      <c r="BB41" s="7">
        <v>0</v>
      </c>
      <c r="BC41" s="98">
        <f t="shared" si="6"/>
        <v>0</v>
      </c>
      <c r="BD41" s="80">
        <f t="shared" si="7"/>
        <v>2883692</v>
      </c>
    </row>
    <row r="42" spans="1:56" ht="17.25" thickBot="1" x14ac:dyDescent="0.3">
      <c r="A42" s="88" t="s">
        <v>54</v>
      </c>
      <c r="B42" s="8" t="s">
        <v>257</v>
      </c>
      <c r="C42" s="102">
        <v>259430</v>
      </c>
      <c r="D42" s="140">
        <v>105865.069</v>
      </c>
      <c r="E42" s="140">
        <v>14490000</v>
      </c>
      <c r="F42" s="144">
        <f>SUM(C42:E42)</f>
        <v>14855295.069</v>
      </c>
      <c r="G42" s="140">
        <v>20046000</v>
      </c>
      <c r="H42" s="167">
        <v>13257765</v>
      </c>
      <c r="I42" s="168">
        <v>0</v>
      </c>
      <c r="J42" s="144">
        <f t="shared" ref="J42:J43" si="42">G42+H42</f>
        <v>33303765</v>
      </c>
      <c r="K42" s="146">
        <f t="shared" si="11"/>
        <v>48159060.068999998</v>
      </c>
      <c r="L42" s="140">
        <v>257592.51699999999</v>
      </c>
      <c r="M42" s="140">
        <v>53085.33</v>
      </c>
      <c r="N42" s="140">
        <v>20867600.936000001</v>
      </c>
      <c r="O42" s="145">
        <f t="shared" si="1"/>
        <v>21178278.783</v>
      </c>
      <c r="P42" s="140">
        <v>23510000</v>
      </c>
      <c r="Q42" s="102">
        <v>0</v>
      </c>
      <c r="R42" s="30">
        <v>0</v>
      </c>
      <c r="S42" s="144">
        <f t="shared" si="2"/>
        <v>23510000</v>
      </c>
      <c r="T42" s="146">
        <f t="shared" si="3"/>
        <v>44688278.783</v>
      </c>
      <c r="U42" s="7">
        <v>186432</v>
      </c>
      <c r="V42" s="7">
        <v>302905</v>
      </c>
      <c r="W42" s="7">
        <v>24439610</v>
      </c>
      <c r="X42" s="74">
        <f>SUM(U42:W42)</f>
        <v>24928947</v>
      </c>
      <c r="Y42" s="7">
        <v>18339000</v>
      </c>
      <c r="Z42" s="23">
        <v>1254747</v>
      </c>
      <c r="AA42" s="7">
        <v>0</v>
      </c>
      <c r="AB42" s="74">
        <f>Y42+Z42+AA42</f>
        <v>19593747</v>
      </c>
      <c r="AC42" s="80">
        <f t="shared" si="40"/>
        <v>44522694</v>
      </c>
      <c r="AD42" s="30">
        <v>145690</v>
      </c>
      <c r="AE42" s="30">
        <v>216420</v>
      </c>
      <c r="AF42" s="30">
        <v>24368850</v>
      </c>
      <c r="AG42" s="74">
        <f>SUM(AD42:AF42)</f>
        <v>24730960</v>
      </c>
      <c r="AH42" s="30">
        <f>8000+13495493</f>
        <v>13503493</v>
      </c>
      <c r="AI42" s="30">
        <v>8920555</v>
      </c>
      <c r="AJ42" s="7">
        <v>0</v>
      </c>
      <c r="AK42" s="74">
        <f>AH42+AI42+AJ42</f>
        <v>22424048</v>
      </c>
      <c r="AL42" s="80">
        <f t="shared" si="5"/>
        <v>47155008</v>
      </c>
      <c r="AM42" s="7">
        <v>164297</v>
      </c>
      <c r="AN42" s="7">
        <v>334835</v>
      </c>
      <c r="AO42" s="7">
        <v>28205652</v>
      </c>
      <c r="AP42" s="7">
        <f>SUM(AM42:AO42)</f>
        <v>28704784</v>
      </c>
      <c r="AQ42" s="7">
        <v>18326056</v>
      </c>
      <c r="AR42" s="7">
        <v>0</v>
      </c>
      <c r="AS42" s="7">
        <v>0</v>
      </c>
      <c r="AT42" s="74">
        <f>AQ42+AR42+AS42</f>
        <v>18326056</v>
      </c>
      <c r="AU42" s="80">
        <f t="shared" si="36"/>
        <v>47030840</v>
      </c>
      <c r="AV42" s="7">
        <v>171275</v>
      </c>
      <c r="AW42" s="7">
        <v>334835</v>
      </c>
      <c r="AX42" s="7">
        <v>28205652</v>
      </c>
      <c r="AY42" s="98">
        <f t="shared" si="15"/>
        <v>28711762</v>
      </c>
      <c r="AZ42" s="7">
        <v>36422311</v>
      </c>
      <c r="BA42" s="7">
        <v>0</v>
      </c>
      <c r="BB42" s="7">
        <v>0</v>
      </c>
      <c r="BC42" s="98">
        <f t="shared" si="6"/>
        <v>36422311</v>
      </c>
      <c r="BD42" s="80">
        <f t="shared" si="7"/>
        <v>65134073</v>
      </c>
    </row>
    <row r="43" spans="1:56" ht="17.25" thickBot="1" x14ac:dyDescent="0.3">
      <c r="A43" s="89" t="s">
        <v>56</v>
      </c>
      <c r="B43" s="8" t="s">
        <v>59</v>
      </c>
      <c r="C43" s="103">
        <v>555749</v>
      </c>
      <c r="D43" s="140">
        <v>871962.65500000003</v>
      </c>
      <c r="E43" s="140">
        <v>543311.24</v>
      </c>
      <c r="F43" s="144">
        <f>C43+D43+E43</f>
        <v>1971022.895</v>
      </c>
      <c r="G43" s="140">
        <v>0</v>
      </c>
      <c r="H43" s="167">
        <v>0</v>
      </c>
      <c r="I43" s="168">
        <v>0</v>
      </c>
      <c r="J43" s="144">
        <f t="shared" si="42"/>
        <v>0</v>
      </c>
      <c r="K43" s="146">
        <f t="shared" ref="K43:K72" si="43">F43+J43</f>
        <v>1971022.895</v>
      </c>
      <c r="L43" s="140">
        <v>326851.26799999998</v>
      </c>
      <c r="M43" s="140">
        <v>819148.91599999997</v>
      </c>
      <c r="N43" s="140">
        <v>872396.47900000005</v>
      </c>
      <c r="O43" s="145">
        <f t="shared" si="1"/>
        <v>2018396.6629999999</v>
      </c>
      <c r="P43" s="140">
        <v>0</v>
      </c>
      <c r="Q43" s="30"/>
      <c r="R43" s="30"/>
      <c r="S43" s="144">
        <f t="shared" si="2"/>
        <v>0</v>
      </c>
      <c r="T43" s="146">
        <f t="shared" si="3"/>
        <v>2018396.6629999999</v>
      </c>
      <c r="U43" s="7">
        <v>1406703</v>
      </c>
      <c r="V43" s="7">
        <v>1996727</v>
      </c>
      <c r="W43" s="7">
        <v>0</v>
      </c>
      <c r="X43" s="74">
        <f>SUM(U43:W43)</f>
        <v>3403430</v>
      </c>
      <c r="Y43" s="7">
        <v>0</v>
      </c>
      <c r="Z43" s="7"/>
      <c r="AA43" s="7"/>
      <c r="AB43" s="74">
        <f>Y43+Z43+AA43</f>
        <v>0</v>
      </c>
      <c r="AC43" s="80">
        <f t="shared" si="40"/>
        <v>3403430</v>
      </c>
      <c r="AD43" s="35">
        <v>1347877</v>
      </c>
      <c r="AE43" s="35">
        <v>2104651</v>
      </c>
      <c r="AF43" s="35"/>
      <c r="AG43" s="74">
        <f>SUM(AD43:AF43)</f>
        <v>3452528</v>
      </c>
      <c r="AH43" s="7">
        <v>0</v>
      </c>
      <c r="AI43" s="7"/>
      <c r="AJ43" s="7"/>
      <c r="AK43" s="74">
        <f t="shared" ref="AK43:AK51" si="44">AH43+AI43+AJ43</f>
        <v>0</v>
      </c>
      <c r="AL43" s="80">
        <f t="shared" ref="AL43:AL71" si="45">AG43+AK43</f>
        <v>3452528</v>
      </c>
      <c r="AM43" s="19">
        <v>1393097</v>
      </c>
      <c r="AN43" s="19">
        <v>2104651</v>
      </c>
      <c r="AO43" s="7">
        <v>0</v>
      </c>
      <c r="AP43" s="74">
        <f>SUM(AM43:AO43)</f>
        <v>3497748</v>
      </c>
      <c r="AQ43" s="7">
        <v>0</v>
      </c>
      <c r="AR43" s="7"/>
      <c r="AS43" s="7"/>
      <c r="AT43" s="74">
        <f>AQ43+AR43+AS43</f>
        <v>0</v>
      </c>
      <c r="AU43" s="80">
        <f t="shared" ref="AU43:AU71" si="46">AP43+AT43</f>
        <v>3497748</v>
      </c>
      <c r="AV43" s="7">
        <v>1452757</v>
      </c>
      <c r="AW43" s="7">
        <v>2113651</v>
      </c>
      <c r="AX43" s="7"/>
      <c r="AY43" s="98">
        <f t="shared" si="15"/>
        <v>3566408</v>
      </c>
      <c r="AZ43" s="7">
        <v>0</v>
      </c>
      <c r="BA43" s="7">
        <v>0</v>
      </c>
      <c r="BB43" s="7">
        <v>0</v>
      </c>
      <c r="BC43" s="98">
        <f t="shared" si="6"/>
        <v>0</v>
      </c>
      <c r="BD43" s="80">
        <f t="shared" si="7"/>
        <v>3566408</v>
      </c>
    </row>
    <row r="44" spans="1:56" ht="17.25" thickBot="1" x14ac:dyDescent="0.3">
      <c r="A44" s="171" t="s">
        <v>60</v>
      </c>
      <c r="B44" s="172"/>
      <c r="C44" s="141">
        <f>C45+C46+C47</f>
        <v>2020560</v>
      </c>
      <c r="D44" s="141">
        <f>D45+D46+D47</f>
        <v>2811538</v>
      </c>
      <c r="E44" s="142">
        <f>E45+E46+E47</f>
        <v>127755</v>
      </c>
      <c r="F44" s="143">
        <f>C44+D44+E44</f>
        <v>4959853</v>
      </c>
      <c r="G44" s="142">
        <f>G45+G46+G47</f>
        <v>117322</v>
      </c>
      <c r="H44" s="142">
        <f>H45+H46+H47</f>
        <v>1000000</v>
      </c>
      <c r="I44" s="142">
        <f>I45+I46+I47</f>
        <v>0</v>
      </c>
      <c r="J44" s="143">
        <f t="shared" ref="J44" si="47">G44+H44+I44</f>
        <v>1117322</v>
      </c>
      <c r="K44" s="146">
        <f t="shared" si="43"/>
        <v>6077175</v>
      </c>
      <c r="L44" s="141">
        <f>L45+L46+L47+0</f>
        <v>2842122.4240000001</v>
      </c>
      <c r="M44" s="141">
        <f>M45+M46+M47+0</f>
        <v>1787573.7540000002</v>
      </c>
      <c r="N44" s="141">
        <f>N45+N46+N47+0</f>
        <v>102820.912</v>
      </c>
      <c r="O44" s="143">
        <f t="shared" si="1"/>
        <v>4732517.09</v>
      </c>
      <c r="P44" s="141">
        <f>P45+P46+P47+0</f>
        <v>219057.81700000001</v>
      </c>
      <c r="Q44" s="141">
        <f>Q45+Q46+Q47+0</f>
        <v>0</v>
      </c>
      <c r="R44" s="141">
        <f>R45+R46+R47+0</f>
        <v>0</v>
      </c>
      <c r="S44" s="157">
        <f t="shared" si="2"/>
        <v>219057.81700000001</v>
      </c>
      <c r="T44" s="146">
        <f>T45+T46+T47</f>
        <v>4951574.9070000006</v>
      </c>
      <c r="U44" s="5">
        <f t="shared" ref="U44:AC44" si="48">U45+U46+U47+0</f>
        <v>2786942</v>
      </c>
      <c r="V44" s="5">
        <f t="shared" si="48"/>
        <v>4384795</v>
      </c>
      <c r="W44" s="5">
        <f t="shared" si="48"/>
        <v>46000</v>
      </c>
      <c r="X44" s="73">
        <f t="shared" si="48"/>
        <v>7217737</v>
      </c>
      <c r="Y44" s="5">
        <f t="shared" si="48"/>
        <v>300000</v>
      </c>
      <c r="Z44" s="5">
        <f t="shared" si="48"/>
        <v>165000</v>
      </c>
      <c r="AA44" s="5">
        <f t="shared" si="48"/>
        <v>0</v>
      </c>
      <c r="AB44" s="73">
        <f t="shared" si="48"/>
        <v>465000</v>
      </c>
      <c r="AC44" s="80">
        <f t="shared" si="48"/>
        <v>7682737</v>
      </c>
      <c r="AD44" s="5">
        <f t="shared" ref="AD44:AT44" si="49">AD45+AD46+AD47+0</f>
        <v>3264647</v>
      </c>
      <c r="AE44" s="5">
        <f t="shared" si="49"/>
        <v>4384795</v>
      </c>
      <c r="AF44" s="5">
        <f t="shared" si="49"/>
        <v>46000</v>
      </c>
      <c r="AG44" s="73">
        <f t="shared" si="49"/>
        <v>7695442</v>
      </c>
      <c r="AH44" s="5">
        <f t="shared" si="49"/>
        <v>300000</v>
      </c>
      <c r="AI44" s="5">
        <f t="shared" si="49"/>
        <v>0</v>
      </c>
      <c r="AJ44" s="5">
        <f t="shared" si="49"/>
        <v>0</v>
      </c>
      <c r="AK44" s="73">
        <f t="shared" si="49"/>
        <v>300000</v>
      </c>
      <c r="AL44" s="80">
        <f t="shared" si="49"/>
        <v>7995442</v>
      </c>
      <c r="AM44" s="5">
        <f t="shared" si="49"/>
        <v>3435126</v>
      </c>
      <c r="AN44" s="5">
        <f t="shared" si="49"/>
        <v>4384795</v>
      </c>
      <c r="AO44" s="5">
        <f t="shared" si="49"/>
        <v>46000</v>
      </c>
      <c r="AP44" s="73">
        <f t="shared" si="49"/>
        <v>7865921</v>
      </c>
      <c r="AQ44" s="5">
        <f t="shared" si="49"/>
        <v>300000</v>
      </c>
      <c r="AR44" s="5">
        <f t="shared" si="49"/>
        <v>0</v>
      </c>
      <c r="AS44" s="5">
        <f t="shared" si="49"/>
        <v>0</v>
      </c>
      <c r="AT44" s="73">
        <f t="shared" si="49"/>
        <v>300000</v>
      </c>
      <c r="AU44" s="80">
        <f t="shared" si="46"/>
        <v>8165921</v>
      </c>
      <c r="AV44" s="5">
        <f>AV45+AV46+AV47</f>
        <v>3592314</v>
      </c>
      <c r="AW44" s="5">
        <f>AW45+AW46+AW47</f>
        <v>4384795</v>
      </c>
      <c r="AX44" s="5">
        <f>AX45+AX46+AX47</f>
        <v>46000</v>
      </c>
      <c r="AY44" s="73">
        <f t="shared" si="15"/>
        <v>8023109</v>
      </c>
      <c r="AZ44" s="5">
        <f>AZ45+AZ46+AZ47</f>
        <v>300000</v>
      </c>
      <c r="BA44" s="5">
        <f>BA45+BA46+BA47</f>
        <v>0</v>
      </c>
      <c r="BB44" s="5">
        <f>BB45+BB46+BB47</f>
        <v>0</v>
      </c>
      <c r="BC44" s="73">
        <f t="shared" si="6"/>
        <v>300000</v>
      </c>
      <c r="BD44" s="80">
        <f t="shared" si="7"/>
        <v>8323109</v>
      </c>
    </row>
    <row r="45" spans="1:56" ht="17.25" thickBot="1" x14ac:dyDescent="0.35">
      <c r="A45" s="88" t="s">
        <v>57</v>
      </c>
      <c r="B45" s="8" t="s">
        <v>62</v>
      </c>
      <c r="C45" s="28">
        <v>1791311</v>
      </c>
      <c r="D45" s="28">
        <v>2191784</v>
      </c>
      <c r="E45" s="99">
        <v>27755</v>
      </c>
      <c r="F45" s="144">
        <f>SUM(C45:E45)</f>
        <v>4010850</v>
      </c>
      <c r="G45" s="99">
        <v>117322</v>
      </c>
      <c r="H45" s="167">
        <v>0</v>
      </c>
      <c r="I45" s="168">
        <v>0</v>
      </c>
      <c r="J45" s="144">
        <f>G45+H45</f>
        <v>117322</v>
      </c>
      <c r="K45" s="146">
        <f t="shared" si="43"/>
        <v>4128172</v>
      </c>
      <c r="L45" s="140">
        <v>1726491.4280000001</v>
      </c>
      <c r="M45" s="140">
        <v>1443104.7609999999</v>
      </c>
      <c r="N45" s="140">
        <v>27820.912</v>
      </c>
      <c r="O45" s="145">
        <f t="shared" si="1"/>
        <v>3197417.1010000003</v>
      </c>
      <c r="P45" s="140">
        <v>9789.7000000000007</v>
      </c>
      <c r="Q45" s="30">
        <v>0</v>
      </c>
      <c r="R45" s="30">
        <v>0</v>
      </c>
      <c r="S45" s="144">
        <f t="shared" si="2"/>
        <v>9789.7000000000007</v>
      </c>
      <c r="T45" s="146">
        <f t="shared" si="3"/>
        <v>3207206.8010000004</v>
      </c>
      <c r="U45" s="21">
        <v>1679637</v>
      </c>
      <c r="V45" s="7">
        <v>3222096</v>
      </c>
      <c r="W45" s="7">
        <v>46000</v>
      </c>
      <c r="X45" s="74">
        <f>SUM(U45:W45)</f>
        <v>4947733</v>
      </c>
      <c r="Y45" s="7">
        <v>100000</v>
      </c>
      <c r="Z45" s="7">
        <v>0</v>
      </c>
      <c r="AA45" s="7">
        <v>0</v>
      </c>
      <c r="AB45" s="74">
        <f>Y45+Z45+AA45</f>
        <v>100000</v>
      </c>
      <c r="AC45" s="80">
        <f>X45+AB45</f>
        <v>5047733</v>
      </c>
      <c r="AD45" s="31">
        <v>2028804</v>
      </c>
      <c r="AE45" s="31">
        <v>3222096</v>
      </c>
      <c r="AF45" s="31">
        <v>46000</v>
      </c>
      <c r="AG45" s="74">
        <f>SUM(AD45:AF45)</f>
        <v>5296900</v>
      </c>
      <c r="AH45" s="7">
        <v>100000</v>
      </c>
      <c r="AI45" s="7">
        <v>0</v>
      </c>
      <c r="AJ45" s="7">
        <v>0</v>
      </c>
      <c r="AK45" s="74">
        <f t="shared" si="44"/>
        <v>100000</v>
      </c>
      <c r="AL45" s="80">
        <f t="shared" si="45"/>
        <v>5396900</v>
      </c>
      <c r="AM45" s="19">
        <v>2134446</v>
      </c>
      <c r="AN45" s="19">
        <v>3222096</v>
      </c>
      <c r="AO45" s="19">
        <v>46000</v>
      </c>
      <c r="AP45" s="74">
        <f>SUM(AM45:AO45)</f>
        <v>5402542</v>
      </c>
      <c r="AQ45" s="19">
        <v>100000</v>
      </c>
      <c r="AR45" s="7">
        <v>0</v>
      </c>
      <c r="AS45" s="7">
        <v>0</v>
      </c>
      <c r="AT45" s="74">
        <f>AQ45+AR45+AS45</f>
        <v>100000</v>
      </c>
      <c r="AU45" s="80">
        <f t="shared" si="46"/>
        <v>5502542</v>
      </c>
      <c r="AV45" s="7">
        <v>2231852</v>
      </c>
      <c r="AW45" s="7">
        <v>3222096</v>
      </c>
      <c r="AX45" s="7">
        <v>46000</v>
      </c>
      <c r="AY45" s="98">
        <f t="shared" si="15"/>
        <v>5499948</v>
      </c>
      <c r="AZ45" s="7">
        <v>100000</v>
      </c>
      <c r="BA45" s="7">
        <v>0</v>
      </c>
      <c r="BB45" s="7">
        <v>0</v>
      </c>
      <c r="BC45" s="98">
        <f t="shared" si="6"/>
        <v>100000</v>
      </c>
      <c r="BD45" s="80">
        <f t="shared" si="7"/>
        <v>5599948</v>
      </c>
    </row>
    <row r="46" spans="1:56" ht="17.25" thickBot="1" x14ac:dyDescent="0.35">
      <c r="A46" s="88" t="s">
        <v>58</v>
      </c>
      <c r="B46" s="8" t="s">
        <v>64</v>
      </c>
      <c r="C46" s="30">
        <v>6718</v>
      </c>
      <c r="D46" s="30">
        <v>337975</v>
      </c>
      <c r="E46" s="102">
        <v>100000</v>
      </c>
      <c r="F46" s="144">
        <f>SUM(C46:E46)</f>
        <v>444693</v>
      </c>
      <c r="G46" s="102">
        <v>0</v>
      </c>
      <c r="H46" s="167">
        <v>1000000</v>
      </c>
      <c r="I46" s="168">
        <v>0</v>
      </c>
      <c r="J46" s="144">
        <f t="shared" ref="J46:J47" si="50">G46+H46</f>
        <v>1000000</v>
      </c>
      <c r="K46" s="146">
        <f t="shared" si="43"/>
        <v>1444693</v>
      </c>
      <c r="L46" s="140">
        <v>288626.98699999996</v>
      </c>
      <c r="M46" s="140">
        <v>103087.96800000001</v>
      </c>
      <c r="N46" s="140">
        <v>75000</v>
      </c>
      <c r="O46" s="145">
        <f t="shared" si="1"/>
        <v>466714.95499999996</v>
      </c>
      <c r="P46" s="140">
        <v>0</v>
      </c>
      <c r="Q46" s="30">
        <v>0</v>
      </c>
      <c r="R46" s="30">
        <v>0</v>
      </c>
      <c r="S46" s="144">
        <f t="shared" si="2"/>
        <v>0</v>
      </c>
      <c r="T46" s="146">
        <f t="shared" si="3"/>
        <v>466714.95499999996</v>
      </c>
      <c r="U46" s="21">
        <v>239318</v>
      </c>
      <c r="V46" s="21">
        <v>485669</v>
      </c>
      <c r="W46" s="21">
        <v>0</v>
      </c>
      <c r="X46" s="74">
        <f>SUM(U46:W46)</f>
        <v>724987</v>
      </c>
      <c r="Y46" s="7">
        <v>0</v>
      </c>
      <c r="Z46" s="7">
        <v>0</v>
      </c>
      <c r="AA46" s="7">
        <v>0</v>
      </c>
      <c r="AB46" s="74">
        <f>Y46+Z46+AA46</f>
        <v>0</v>
      </c>
      <c r="AC46" s="80">
        <f>X46+AB46</f>
        <v>724987</v>
      </c>
      <c r="AD46" s="32">
        <v>300435</v>
      </c>
      <c r="AE46" s="32">
        <v>485669</v>
      </c>
      <c r="AF46" s="32">
        <v>0</v>
      </c>
      <c r="AG46" s="74">
        <f>SUM(AD46:AF46)</f>
        <v>786104</v>
      </c>
      <c r="AH46" s="7">
        <v>0</v>
      </c>
      <c r="AI46" s="7">
        <v>0</v>
      </c>
      <c r="AJ46" s="7">
        <v>0</v>
      </c>
      <c r="AK46" s="74">
        <f t="shared" si="44"/>
        <v>0</v>
      </c>
      <c r="AL46" s="80">
        <f t="shared" si="45"/>
        <v>786104</v>
      </c>
      <c r="AM46" s="19">
        <v>314031</v>
      </c>
      <c r="AN46" s="19">
        <v>485669</v>
      </c>
      <c r="AO46" s="7">
        <v>0</v>
      </c>
      <c r="AP46" s="74">
        <f>SUM(AM46:AO46)</f>
        <v>799700</v>
      </c>
      <c r="AQ46" s="7">
        <v>0</v>
      </c>
      <c r="AR46" s="7">
        <v>0</v>
      </c>
      <c r="AS46" s="7">
        <v>0</v>
      </c>
      <c r="AT46" s="74">
        <f>AQ46+AR46+AS46</f>
        <v>0</v>
      </c>
      <c r="AU46" s="80">
        <f t="shared" si="46"/>
        <v>799700</v>
      </c>
      <c r="AV46" s="7">
        <v>326567</v>
      </c>
      <c r="AW46" s="7">
        <v>485669</v>
      </c>
      <c r="AX46" s="7">
        <v>0</v>
      </c>
      <c r="AY46" s="98">
        <f t="shared" si="15"/>
        <v>812236</v>
      </c>
      <c r="AZ46" s="7">
        <v>0</v>
      </c>
      <c r="BA46" s="7">
        <v>0</v>
      </c>
      <c r="BB46" s="7">
        <v>0</v>
      </c>
      <c r="BC46" s="98">
        <f t="shared" si="6"/>
        <v>0</v>
      </c>
      <c r="BD46" s="80">
        <f t="shared" si="7"/>
        <v>812236</v>
      </c>
    </row>
    <row r="47" spans="1:56" ht="17.25" thickBot="1" x14ac:dyDescent="0.3">
      <c r="A47" s="89" t="s">
        <v>61</v>
      </c>
      <c r="B47" s="8" t="s">
        <v>66</v>
      </c>
      <c r="C47" s="35">
        <v>222531</v>
      </c>
      <c r="D47" s="35">
        <v>281779</v>
      </c>
      <c r="E47" s="103">
        <v>0</v>
      </c>
      <c r="F47" s="144">
        <f>SUM(C47:E47)</f>
        <v>504310</v>
      </c>
      <c r="G47" s="103">
        <v>0</v>
      </c>
      <c r="H47" s="167">
        <v>0</v>
      </c>
      <c r="I47" s="168">
        <v>0</v>
      </c>
      <c r="J47" s="144">
        <f t="shared" si="50"/>
        <v>0</v>
      </c>
      <c r="K47" s="146">
        <f t="shared" si="43"/>
        <v>504310</v>
      </c>
      <c r="L47" s="140">
        <v>827004.00899999996</v>
      </c>
      <c r="M47" s="140">
        <v>241381.02500000002</v>
      </c>
      <c r="N47" s="140">
        <v>0</v>
      </c>
      <c r="O47" s="145">
        <f t="shared" si="1"/>
        <v>1068385.034</v>
      </c>
      <c r="P47" s="140">
        <v>209268.117</v>
      </c>
      <c r="Q47" s="102">
        <v>0</v>
      </c>
      <c r="R47" s="30">
        <v>0</v>
      </c>
      <c r="S47" s="144">
        <f t="shared" si="2"/>
        <v>209268.117</v>
      </c>
      <c r="T47" s="146">
        <f t="shared" si="3"/>
        <v>1277653.1510000001</v>
      </c>
      <c r="U47" s="38">
        <v>867987</v>
      </c>
      <c r="V47" s="38">
        <v>677030</v>
      </c>
      <c r="W47" s="38">
        <v>0</v>
      </c>
      <c r="X47" s="74">
        <f>SUM(U47:W47)</f>
        <v>1545017</v>
      </c>
      <c r="Y47" s="38">
        <v>200000</v>
      </c>
      <c r="Z47" s="23">
        <v>165000</v>
      </c>
      <c r="AA47" s="7">
        <v>0</v>
      </c>
      <c r="AB47" s="74">
        <f>Y47+Z47+AA47</f>
        <v>365000</v>
      </c>
      <c r="AC47" s="80">
        <f>X47+AB47</f>
        <v>1910017</v>
      </c>
      <c r="AD47" s="33">
        <v>935408</v>
      </c>
      <c r="AE47" s="33">
        <v>677030</v>
      </c>
      <c r="AF47" s="33">
        <v>0</v>
      </c>
      <c r="AG47" s="74">
        <f>SUM(AD47:AF47)</f>
        <v>1612438</v>
      </c>
      <c r="AH47" s="38">
        <v>200000</v>
      </c>
      <c r="AI47" s="23">
        <v>0</v>
      </c>
      <c r="AJ47" s="7">
        <v>0</v>
      </c>
      <c r="AK47" s="74">
        <f t="shared" si="44"/>
        <v>200000</v>
      </c>
      <c r="AL47" s="80">
        <f t="shared" si="45"/>
        <v>1812438</v>
      </c>
      <c r="AM47" s="19">
        <v>986649</v>
      </c>
      <c r="AN47" s="19">
        <v>677030</v>
      </c>
      <c r="AO47" s="38">
        <v>0</v>
      </c>
      <c r="AP47" s="74">
        <f>SUM(AM47:AO47)</f>
        <v>1663679</v>
      </c>
      <c r="AQ47" s="7">
        <v>200000</v>
      </c>
      <c r="AR47" s="19">
        <v>0</v>
      </c>
      <c r="AS47" s="7">
        <v>0</v>
      </c>
      <c r="AT47" s="74">
        <f>AQ47+AR47+AS47</f>
        <v>200000</v>
      </c>
      <c r="AU47" s="80">
        <f t="shared" si="46"/>
        <v>1863679</v>
      </c>
      <c r="AV47" s="7">
        <v>1033895</v>
      </c>
      <c r="AW47" s="7">
        <v>677030</v>
      </c>
      <c r="AX47" s="7">
        <v>0</v>
      </c>
      <c r="AY47" s="98">
        <f t="shared" si="15"/>
        <v>1710925</v>
      </c>
      <c r="AZ47" s="7">
        <v>200000</v>
      </c>
      <c r="BA47" s="7">
        <v>0</v>
      </c>
      <c r="BB47" s="7">
        <v>0</v>
      </c>
      <c r="BC47" s="98">
        <f t="shared" si="6"/>
        <v>200000</v>
      </c>
      <c r="BD47" s="80">
        <f t="shared" si="7"/>
        <v>1910925</v>
      </c>
    </row>
    <row r="48" spans="1:56" ht="17.25" thickBot="1" x14ac:dyDescent="0.3">
      <c r="A48" s="171" t="s">
        <v>67</v>
      </c>
      <c r="B48" s="172"/>
      <c r="C48" s="141">
        <f>C49+C50+C51</f>
        <v>32255330.566</v>
      </c>
      <c r="D48" s="141">
        <f>D49+D50+D51</f>
        <v>8390681.3540000003</v>
      </c>
      <c r="E48" s="142">
        <f>E49+E50+E51</f>
        <v>23046625.403999999</v>
      </c>
      <c r="F48" s="143">
        <f>C48+D48+E48</f>
        <v>63692637.324000001</v>
      </c>
      <c r="G48" s="142">
        <f>G49+G50+G51</f>
        <v>9607310.8959999997</v>
      </c>
      <c r="H48" s="142">
        <f>H49+H50+H51</f>
        <v>64732633</v>
      </c>
      <c r="I48" s="142">
        <f>I49+I50+I51</f>
        <v>19395403</v>
      </c>
      <c r="J48" s="143">
        <f t="shared" ref="J48:J54" si="51">G48+H48</f>
        <v>74339943.895999998</v>
      </c>
      <c r="K48" s="146">
        <f t="shared" si="43"/>
        <v>138032581.22</v>
      </c>
      <c r="L48" s="141">
        <f>L49+L50+L51</f>
        <v>43085256.387999997</v>
      </c>
      <c r="M48" s="141">
        <f>M49+M50+M51</f>
        <v>5736963.9720000001</v>
      </c>
      <c r="N48" s="141">
        <f>N49+N50+N51</f>
        <v>27125026.504999999</v>
      </c>
      <c r="O48" s="143">
        <f t="shared" si="1"/>
        <v>75947246.864999995</v>
      </c>
      <c r="P48" s="141">
        <f>P49+P50+P51</f>
        <v>10325656.809999999</v>
      </c>
      <c r="Q48" s="141">
        <f>Q49+Q50+Q51</f>
        <v>2322516.0259999996</v>
      </c>
      <c r="R48" s="141">
        <f>R49+R50+R51</f>
        <v>27013751.695</v>
      </c>
      <c r="S48" s="157">
        <f t="shared" si="2"/>
        <v>39661924.531000003</v>
      </c>
      <c r="T48" s="146">
        <f t="shared" si="3"/>
        <v>115609171.396</v>
      </c>
      <c r="U48" s="5">
        <f t="shared" ref="U48:AC48" si="52">U49+U50+U51</f>
        <v>48359062</v>
      </c>
      <c r="V48" s="5">
        <f t="shared" si="52"/>
        <v>10686567</v>
      </c>
      <c r="W48" s="5">
        <f t="shared" si="52"/>
        <v>34882309</v>
      </c>
      <c r="X48" s="73">
        <f t="shared" si="52"/>
        <v>93927938</v>
      </c>
      <c r="Y48" s="5">
        <f t="shared" si="52"/>
        <v>18565339</v>
      </c>
      <c r="Z48" s="5">
        <f t="shared" si="52"/>
        <v>2706613</v>
      </c>
      <c r="AA48" s="5">
        <f t="shared" si="52"/>
        <v>21083354</v>
      </c>
      <c r="AB48" s="73">
        <f t="shared" si="52"/>
        <v>42355306</v>
      </c>
      <c r="AC48" s="80">
        <f t="shared" si="52"/>
        <v>136283244</v>
      </c>
      <c r="AD48" s="5">
        <f t="shared" ref="AD48:AT48" si="53">AD49+AD50+AD51</f>
        <v>47069461</v>
      </c>
      <c r="AE48" s="5">
        <f t="shared" si="53"/>
        <v>10686567</v>
      </c>
      <c r="AF48" s="5">
        <f t="shared" si="53"/>
        <v>37730247</v>
      </c>
      <c r="AG48" s="73">
        <f t="shared" si="53"/>
        <v>95486275</v>
      </c>
      <c r="AH48" s="5">
        <f t="shared" si="53"/>
        <v>19000000</v>
      </c>
      <c r="AI48" s="5">
        <f t="shared" si="53"/>
        <v>1130192</v>
      </c>
      <c r="AJ48" s="5">
        <f t="shared" si="53"/>
        <v>34495000</v>
      </c>
      <c r="AK48" s="73">
        <f t="shared" si="53"/>
        <v>54625192</v>
      </c>
      <c r="AL48" s="80">
        <f t="shared" si="53"/>
        <v>150111467</v>
      </c>
      <c r="AM48" s="5">
        <f t="shared" si="53"/>
        <v>49519262</v>
      </c>
      <c r="AN48" s="5">
        <f t="shared" si="53"/>
        <v>10686567</v>
      </c>
      <c r="AO48" s="5">
        <f t="shared" si="53"/>
        <v>37730248</v>
      </c>
      <c r="AP48" s="73">
        <f t="shared" si="53"/>
        <v>97936077</v>
      </c>
      <c r="AQ48" s="5">
        <f t="shared" si="53"/>
        <v>22200000</v>
      </c>
      <c r="AR48" s="5">
        <f t="shared" si="53"/>
        <v>1130192</v>
      </c>
      <c r="AS48" s="5">
        <f t="shared" si="53"/>
        <v>27842000</v>
      </c>
      <c r="AT48" s="73">
        <f t="shared" si="53"/>
        <v>51172192</v>
      </c>
      <c r="AU48" s="80">
        <f t="shared" si="46"/>
        <v>149108269</v>
      </c>
      <c r="AV48" s="5">
        <f>AV49+AV50+AV51</f>
        <v>51845695</v>
      </c>
      <c r="AW48" s="5">
        <f>AW49+AW50+AW51</f>
        <v>10686567</v>
      </c>
      <c r="AX48" s="5">
        <f>AX49+AX50+AX51</f>
        <v>37730248</v>
      </c>
      <c r="AY48" s="73">
        <f t="shared" si="15"/>
        <v>100262510</v>
      </c>
      <c r="AZ48" s="5">
        <f>AZ49+AZ50+AZ51</f>
        <v>25700000</v>
      </c>
      <c r="BA48" s="5">
        <f>BA49+BA50+BA51</f>
        <v>0</v>
      </c>
      <c r="BB48" s="5">
        <f>BB49+BB50+BB51</f>
        <v>25249000</v>
      </c>
      <c r="BC48" s="73">
        <f t="shared" si="6"/>
        <v>50949000</v>
      </c>
      <c r="BD48" s="80">
        <f t="shared" si="7"/>
        <v>151211510</v>
      </c>
    </row>
    <row r="49" spans="1:56" ht="17.25" thickBot="1" x14ac:dyDescent="0.3">
      <c r="A49" s="88" t="s">
        <v>259</v>
      </c>
      <c r="B49" s="8" t="s">
        <v>69</v>
      </c>
      <c r="C49" s="30">
        <v>2498755.608</v>
      </c>
      <c r="D49" s="30">
        <v>368719</v>
      </c>
      <c r="E49" s="30">
        <v>7056162.8490000004</v>
      </c>
      <c r="F49" s="145">
        <f t="shared" ref="F49:F51" si="54">C49+D49+E49</f>
        <v>9923637.4570000004</v>
      </c>
      <c r="G49" s="30">
        <v>519548.32799999998</v>
      </c>
      <c r="H49" s="167">
        <v>15026514</v>
      </c>
      <c r="I49" s="168">
        <v>0</v>
      </c>
      <c r="J49" s="144">
        <f t="shared" si="51"/>
        <v>15546062.328</v>
      </c>
      <c r="K49" s="146">
        <f t="shared" si="43"/>
        <v>25469699.785</v>
      </c>
      <c r="L49" s="140">
        <v>10248752.306</v>
      </c>
      <c r="M49" s="140">
        <v>58472.736999999994</v>
      </c>
      <c r="N49" s="140">
        <v>6426076.5</v>
      </c>
      <c r="O49" s="145">
        <f t="shared" si="1"/>
        <v>16733301.543</v>
      </c>
      <c r="P49" s="140">
        <v>1238650.8030000001</v>
      </c>
      <c r="Q49" s="209">
        <v>195623.087</v>
      </c>
      <c r="R49" s="63">
        <v>0</v>
      </c>
      <c r="S49" s="144">
        <f t="shared" si="2"/>
        <v>1434273.8900000001</v>
      </c>
      <c r="T49" s="146">
        <f t="shared" si="3"/>
        <v>18167575.432999998</v>
      </c>
      <c r="U49" s="7">
        <v>1586240</v>
      </c>
      <c r="V49" s="7">
        <v>215000</v>
      </c>
      <c r="W49" s="7">
        <v>12182014</v>
      </c>
      <c r="X49" s="74">
        <f>SUM(U49:W49)</f>
        <v>13983254</v>
      </c>
      <c r="Y49" s="7">
        <v>7090000</v>
      </c>
      <c r="Z49" s="7">
        <v>2045000</v>
      </c>
      <c r="AB49" s="74">
        <f>Y49+Z49+AA49</f>
        <v>9135000</v>
      </c>
      <c r="AC49" s="80">
        <f>X49+AB49</f>
        <v>23118254</v>
      </c>
      <c r="AD49" s="30">
        <v>71300</v>
      </c>
      <c r="AE49" s="30">
        <v>215000</v>
      </c>
      <c r="AF49" s="30">
        <v>11624760</v>
      </c>
      <c r="AG49" s="74">
        <f>SUM(AD49:AF49)</f>
        <v>11911060</v>
      </c>
      <c r="AH49" s="30">
        <v>8740000</v>
      </c>
      <c r="AI49" s="7">
        <v>0</v>
      </c>
      <c r="AK49" s="74">
        <f>AH49+AI49+AJ49</f>
        <v>8740000</v>
      </c>
      <c r="AL49" s="80">
        <f t="shared" si="45"/>
        <v>20651060</v>
      </c>
      <c r="AM49" s="7">
        <v>75554</v>
      </c>
      <c r="AN49" s="7">
        <v>215000</v>
      </c>
      <c r="AO49" s="7">
        <v>11624760</v>
      </c>
      <c r="AP49" s="74">
        <f>SUM(AM49:AO49)</f>
        <v>11915314</v>
      </c>
      <c r="AQ49" s="7">
        <v>9150000</v>
      </c>
      <c r="AR49" s="7">
        <v>0</v>
      </c>
      <c r="AS49" s="7">
        <v>0</v>
      </c>
      <c r="AT49" s="74">
        <f>AQ49+AR49+AS49</f>
        <v>9150000</v>
      </c>
      <c r="AU49" s="80">
        <f t="shared" si="46"/>
        <v>21065314</v>
      </c>
      <c r="AV49" s="17">
        <v>79595</v>
      </c>
      <c r="AW49" s="17">
        <v>215000</v>
      </c>
      <c r="AX49" s="17">
        <v>11624760</v>
      </c>
      <c r="AY49" s="98">
        <f t="shared" si="15"/>
        <v>11919355</v>
      </c>
      <c r="AZ49" s="7">
        <v>12650000</v>
      </c>
      <c r="BA49" s="19">
        <v>0</v>
      </c>
      <c r="BB49" s="7">
        <v>0</v>
      </c>
      <c r="BC49" s="98">
        <f t="shared" si="6"/>
        <v>12650000</v>
      </c>
      <c r="BD49" s="80">
        <f t="shared" si="7"/>
        <v>24569355</v>
      </c>
    </row>
    <row r="50" spans="1:56" ht="17.25" thickBot="1" x14ac:dyDescent="0.3">
      <c r="A50" s="88" t="s">
        <v>258</v>
      </c>
      <c r="B50" s="8" t="s">
        <v>71</v>
      </c>
      <c r="C50" s="30">
        <v>561479.00800000003</v>
      </c>
      <c r="D50" s="30">
        <v>71135</v>
      </c>
      <c r="E50" s="30">
        <v>9716865.4199999999</v>
      </c>
      <c r="F50" s="145">
        <f t="shared" si="54"/>
        <v>10349479.427999999</v>
      </c>
      <c r="G50" s="30">
        <v>8542744.8049999997</v>
      </c>
      <c r="H50" s="167">
        <v>49706119</v>
      </c>
      <c r="I50" s="168">
        <v>19395403</v>
      </c>
      <c r="J50" s="144">
        <f t="shared" si="51"/>
        <v>58248863.805</v>
      </c>
      <c r="K50" s="146">
        <f t="shared" si="43"/>
        <v>68598343.232999995</v>
      </c>
      <c r="L50" s="140">
        <v>332911.22200000001</v>
      </c>
      <c r="M50" s="140">
        <v>181405.62999999998</v>
      </c>
      <c r="N50" s="140">
        <v>14095120.458999999</v>
      </c>
      <c r="O50" s="145">
        <f t="shared" si="1"/>
        <v>14609437.310999999</v>
      </c>
      <c r="P50" s="140">
        <v>8556330.5800000001</v>
      </c>
      <c r="Q50" s="30">
        <v>0</v>
      </c>
      <c r="R50" s="140">
        <v>13045764.119999999</v>
      </c>
      <c r="S50" s="144">
        <f t="shared" si="2"/>
        <v>21602094.699999999</v>
      </c>
      <c r="T50" s="146">
        <f t="shared" si="3"/>
        <v>36211532.011</v>
      </c>
      <c r="U50" s="7">
        <v>1903026</v>
      </c>
      <c r="V50" s="7">
        <v>249000</v>
      </c>
      <c r="W50" s="7">
        <v>16710563</v>
      </c>
      <c r="X50" s="74">
        <f>SUM(U50:W50)</f>
        <v>18862589</v>
      </c>
      <c r="Y50" s="7">
        <v>10175339</v>
      </c>
      <c r="Z50" s="7">
        <v>0</v>
      </c>
      <c r="AA50" s="7">
        <v>14384535</v>
      </c>
      <c r="AB50" s="74">
        <f>Y50+Z50+AA50</f>
        <v>24559874</v>
      </c>
      <c r="AC50" s="80">
        <f>X50+AB50</f>
        <v>43422463</v>
      </c>
      <c r="AD50" s="35">
        <v>167240</v>
      </c>
      <c r="AE50" s="35">
        <v>249000</v>
      </c>
      <c r="AF50" s="35">
        <v>19343719</v>
      </c>
      <c r="AG50" s="74">
        <f>SUM(AD50:AF50)</f>
        <v>19759959</v>
      </c>
      <c r="AH50" s="35">
        <v>8960000</v>
      </c>
      <c r="AI50" s="7">
        <v>0</v>
      </c>
      <c r="AJ50" s="35">
        <v>15179000</v>
      </c>
      <c r="AK50" s="74">
        <f>AH50+AI50+AJ50</f>
        <v>24139000</v>
      </c>
      <c r="AL50" s="80">
        <f t="shared" si="45"/>
        <v>43898959</v>
      </c>
      <c r="AM50" s="7">
        <v>177210</v>
      </c>
      <c r="AN50" s="7">
        <v>249000</v>
      </c>
      <c r="AO50" s="19">
        <v>19343720</v>
      </c>
      <c r="AP50" s="74">
        <f>SUM(AM50:AO50)</f>
        <v>19769930</v>
      </c>
      <c r="AQ50" s="7">
        <v>10950000</v>
      </c>
      <c r="AR50" s="7">
        <v>0</v>
      </c>
      <c r="AS50" s="7">
        <v>11454000</v>
      </c>
      <c r="AT50" s="74">
        <f>AQ50+AR50+AS50</f>
        <v>22404000</v>
      </c>
      <c r="AU50" s="80">
        <f t="shared" si="46"/>
        <v>42173930</v>
      </c>
      <c r="AV50" s="17">
        <v>186678</v>
      </c>
      <c r="AW50" s="17">
        <v>249000</v>
      </c>
      <c r="AX50" s="17">
        <v>19343720</v>
      </c>
      <c r="AY50" s="98">
        <f t="shared" si="15"/>
        <v>19779398</v>
      </c>
      <c r="AZ50" s="60">
        <v>10950000</v>
      </c>
      <c r="BA50" s="7">
        <v>0</v>
      </c>
      <c r="BB50" s="19">
        <v>8716000</v>
      </c>
      <c r="BC50" s="98">
        <f>AZ50+BA50+BB50</f>
        <v>19666000</v>
      </c>
      <c r="BD50" s="80">
        <f t="shared" si="7"/>
        <v>39445398</v>
      </c>
    </row>
    <row r="51" spans="1:56" ht="17.25" thickBot="1" x14ac:dyDescent="0.3">
      <c r="A51" s="88" t="s">
        <v>63</v>
      </c>
      <c r="B51" s="8" t="s">
        <v>73</v>
      </c>
      <c r="C51" s="30">
        <v>29195095.949999999</v>
      </c>
      <c r="D51" s="30">
        <v>7950827.3540000003</v>
      </c>
      <c r="E51" s="30">
        <v>6273597.1349999998</v>
      </c>
      <c r="F51" s="145">
        <f t="shared" si="54"/>
        <v>43419520.438999996</v>
      </c>
      <c r="G51" s="30">
        <v>545017.76299999992</v>
      </c>
      <c r="H51" s="167">
        <v>0</v>
      </c>
      <c r="I51" s="168">
        <v>0</v>
      </c>
      <c r="J51" s="144">
        <f t="shared" si="51"/>
        <v>545017.76299999992</v>
      </c>
      <c r="K51" s="146">
        <f t="shared" si="43"/>
        <v>43964538.201999992</v>
      </c>
      <c r="L51" s="140">
        <v>32503592.859999999</v>
      </c>
      <c r="M51" s="140">
        <v>5497085.6050000004</v>
      </c>
      <c r="N51" s="140">
        <v>6603829.5460000001</v>
      </c>
      <c r="O51" s="145">
        <f t="shared" si="1"/>
        <v>44604508.011000007</v>
      </c>
      <c r="P51" s="140">
        <v>530675.42700000003</v>
      </c>
      <c r="Q51" s="209">
        <v>2126892.9389999998</v>
      </c>
      <c r="R51" s="140">
        <v>13967987.574999999</v>
      </c>
      <c r="S51" s="144">
        <f t="shared" si="2"/>
        <v>16625555.941</v>
      </c>
      <c r="T51" s="146">
        <f t="shared" si="3"/>
        <v>61230063.952000007</v>
      </c>
      <c r="U51" s="7">
        <v>44869796</v>
      </c>
      <c r="V51" s="7">
        <v>10222567</v>
      </c>
      <c r="W51" s="7">
        <v>5989732</v>
      </c>
      <c r="X51" s="74">
        <f>SUM(U51:W51)</f>
        <v>61082095</v>
      </c>
      <c r="Y51" s="7">
        <v>1300000</v>
      </c>
      <c r="Z51" s="7">
        <v>661613</v>
      </c>
      <c r="AA51" s="7">
        <v>6698819</v>
      </c>
      <c r="AB51" s="74">
        <f>Y51+Z51+AA51</f>
        <v>8660432</v>
      </c>
      <c r="AC51" s="80">
        <f>X51+AB51</f>
        <v>69742527</v>
      </c>
      <c r="AD51" s="28">
        <v>46830921</v>
      </c>
      <c r="AE51" s="28">
        <v>10222567</v>
      </c>
      <c r="AF51" s="28">
        <v>6761768</v>
      </c>
      <c r="AG51" s="74">
        <f>SUM(AD51:AF51)</f>
        <v>63815256</v>
      </c>
      <c r="AH51" s="28">
        <v>1300000</v>
      </c>
      <c r="AI51" s="28">
        <v>1130192</v>
      </c>
      <c r="AJ51" s="28">
        <v>19316000</v>
      </c>
      <c r="AK51" s="74">
        <f t="shared" si="44"/>
        <v>21746192</v>
      </c>
      <c r="AL51" s="80">
        <f t="shared" si="45"/>
        <v>85561448</v>
      </c>
      <c r="AM51" s="7">
        <v>49266498</v>
      </c>
      <c r="AN51" s="7">
        <v>10222567</v>
      </c>
      <c r="AO51" s="7">
        <v>6761768</v>
      </c>
      <c r="AP51" s="74">
        <f>SUM(AM51:AO51)</f>
        <v>66250833</v>
      </c>
      <c r="AQ51" s="7">
        <v>2100000</v>
      </c>
      <c r="AR51" s="7">
        <v>1130192</v>
      </c>
      <c r="AS51" s="7">
        <v>16388000</v>
      </c>
      <c r="AT51" s="74">
        <f>AQ51+AR51+AS51</f>
        <v>19618192</v>
      </c>
      <c r="AU51" s="80">
        <f t="shared" si="46"/>
        <v>85869025</v>
      </c>
      <c r="AV51" s="17">
        <v>51579422</v>
      </c>
      <c r="AW51" s="17">
        <v>10222567</v>
      </c>
      <c r="AX51" s="17">
        <v>6761768</v>
      </c>
      <c r="AY51" s="98">
        <f t="shared" si="15"/>
        <v>68563757</v>
      </c>
      <c r="AZ51" s="19">
        <v>2100000</v>
      </c>
      <c r="BA51" s="19">
        <v>0</v>
      </c>
      <c r="BB51" s="7">
        <v>16533000</v>
      </c>
      <c r="BC51" s="98">
        <f t="shared" si="6"/>
        <v>18633000</v>
      </c>
      <c r="BD51" s="80">
        <f t="shared" si="7"/>
        <v>87196757</v>
      </c>
    </row>
    <row r="52" spans="1:56" ht="17.25" thickBot="1" x14ac:dyDescent="0.3">
      <c r="A52" s="171" t="s">
        <v>74</v>
      </c>
      <c r="B52" s="172"/>
      <c r="C52" s="141">
        <f>C53+C54+C55+C56</f>
        <v>28172854.760999996</v>
      </c>
      <c r="D52" s="141">
        <f>D53+D54+D55+D56</f>
        <v>2239043.1239999998</v>
      </c>
      <c r="E52" s="142">
        <f>E53+E54+E55+E56</f>
        <v>18401735.050000001</v>
      </c>
      <c r="F52" s="143">
        <f>C52+D52+E52</f>
        <v>48813632.935000002</v>
      </c>
      <c r="G52" s="142">
        <f>G53+G54+G55+G56</f>
        <v>12002803.699999999</v>
      </c>
      <c r="H52" s="142">
        <f>H53+H54+H55+H56</f>
        <v>2442513.9131172202</v>
      </c>
      <c r="I52" s="142">
        <f>I53+I54+I55+I56</f>
        <v>6222435</v>
      </c>
      <c r="J52" s="143">
        <f t="shared" si="51"/>
        <v>14445317.61311722</v>
      </c>
      <c r="K52" s="146">
        <f t="shared" si="43"/>
        <v>63258950.54811722</v>
      </c>
      <c r="L52" s="141">
        <f>L53+L54+L55+L56</f>
        <v>35007746.484000005</v>
      </c>
      <c r="M52" s="141">
        <f>M53+M54+M55+M56</f>
        <v>2699615.048</v>
      </c>
      <c r="N52" s="141">
        <f>N53+N54+N55+N56</f>
        <v>19646773.766999997</v>
      </c>
      <c r="O52" s="143">
        <f t="shared" si="1"/>
        <v>57354135.299000002</v>
      </c>
      <c r="P52" s="141">
        <f>P53+P54+P55+P56</f>
        <v>12219599.427999999</v>
      </c>
      <c r="Q52" s="141">
        <f>Q53+Q54+Q55+Q56</f>
        <v>117348.595</v>
      </c>
      <c r="R52" s="141">
        <f>R53+R54+R55+R56</f>
        <v>1920038.7320000003</v>
      </c>
      <c r="S52" s="157">
        <f>P52+Q52+R52</f>
        <v>14256986.755000001</v>
      </c>
      <c r="T52" s="146">
        <f t="shared" si="3"/>
        <v>71611122.054000005</v>
      </c>
      <c r="U52" s="5">
        <f t="shared" ref="U52:AC52" si="55">U53+U54+U55+U56</f>
        <v>39569246</v>
      </c>
      <c r="V52" s="5">
        <f t="shared" si="55"/>
        <v>5236993</v>
      </c>
      <c r="W52" s="5">
        <f t="shared" si="55"/>
        <v>22766800</v>
      </c>
      <c r="X52" s="73">
        <f t="shared" si="55"/>
        <v>67573039</v>
      </c>
      <c r="Y52" s="5">
        <f t="shared" si="55"/>
        <v>13244571</v>
      </c>
      <c r="Z52" s="5">
        <f t="shared" si="55"/>
        <v>0</v>
      </c>
      <c r="AA52" s="5">
        <f t="shared" si="55"/>
        <v>659388</v>
      </c>
      <c r="AB52" s="73">
        <f t="shared" si="55"/>
        <v>13903959</v>
      </c>
      <c r="AC52" s="80">
        <f t="shared" si="55"/>
        <v>81476998</v>
      </c>
      <c r="AD52" s="5">
        <f t="shared" ref="AD52:AT52" si="56">AD53+AD54+AD55+AD56</f>
        <v>39981788</v>
      </c>
      <c r="AE52" s="5">
        <f t="shared" si="56"/>
        <v>5131227</v>
      </c>
      <c r="AF52" s="5">
        <f t="shared" si="56"/>
        <v>22872566</v>
      </c>
      <c r="AG52" s="73">
        <f t="shared" si="56"/>
        <v>67985581</v>
      </c>
      <c r="AH52" s="5">
        <f t="shared" si="56"/>
        <v>14474371</v>
      </c>
      <c r="AI52" s="5">
        <f t="shared" si="56"/>
        <v>0</v>
      </c>
      <c r="AJ52" s="5">
        <f t="shared" si="56"/>
        <v>11254000</v>
      </c>
      <c r="AK52" s="73">
        <f t="shared" si="56"/>
        <v>25728371</v>
      </c>
      <c r="AL52" s="80">
        <f t="shared" si="56"/>
        <v>93713952</v>
      </c>
      <c r="AM52" s="5">
        <f t="shared" si="56"/>
        <v>44541193</v>
      </c>
      <c r="AN52" s="5">
        <f t="shared" si="56"/>
        <v>5386993</v>
      </c>
      <c r="AO52" s="5">
        <f t="shared" si="56"/>
        <v>22616800</v>
      </c>
      <c r="AP52" s="73">
        <f t="shared" si="56"/>
        <v>72544986</v>
      </c>
      <c r="AQ52" s="5">
        <f t="shared" si="56"/>
        <v>19471971</v>
      </c>
      <c r="AR52" s="5">
        <f t="shared" si="56"/>
        <v>0</v>
      </c>
      <c r="AS52" s="5">
        <f t="shared" si="56"/>
        <v>6570000</v>
      </c>
      <c r="AT52" s="73">
        <f t="shared" si="56"/>
        <v>26041971</v>
      </c>
      <c r="AU52" s="80">
        <f t="shared" si="46"/>
        <v>98586957</v>
      </c>
      <c r="AV52" s="5">
        <f>AV53+AV54+AV55+AV56</f>
        <v>48908148</v>
      </c>
      <c r="AW52" s="5">
        <f>AW53+AW54+AW55+AW56</f>
        <v>5386993</v>
      </c>
      <c r="AX52" s="5">
        <f>AX53+AX54+AX55+AX56</f>
        <v>22616800</v>
      </c>
      <c r="AY52" s="73">
        <f t="shared" si="15"/>
        <v>76911941</v>
      </c>
      <c r="AZ52" s="5">
        <f>AZ53+AZ54+AZ55+AZ56</f>
        <v>17062500</v>
      </c>
      <c r="BA52" s="5">
        <f>BA53+BA54+BA55+BA56</f>
        <v>0</v>
      </c>
      <c r="BB52" s="5">
        <f>BB53+BB54+BB55+BB56</f>
        <v>0</v>
      </c>
      <c r="BC52" s="73">
        <f t="shared" si="6"/>
        <v>17062500</v>
      </c>
      <c r="BD52" s="80">
        <f t="shared" si="7"/>
        <v>93974441</v>
      </c>
    </row>
    <row r="53" spans="1:56" ht="17.25" thickBot="1" x14ac:dyDescent="0.3">
      <c r="A53" s="88" t="s">
        <v>75</v>
      </c>
      <c r="B53" s="6" t="s">
        <v>76</v>
      </c>
      <c r="C53" s="28">
        <f>'[1]Classification prog-économi (2'!$D$47</f>
        <v>3678360.5579999997</v>
      </c>
      <c r="D53" s="140">
        <v>1291204.18</v>
      </c>
      <c r="E53" s="140">
        <v>429611.56400000001</v>
      </c>
      <c r="F53" s="144">
        <f>SUM(C53:E53)</f>
        <v>5399176.3020000001</v>
      </c>
      <c r="G53" s="99">
        <f>'[1]Classification prog-économi (2'!$P$47</f>
        <v>159674.5</v>
      </c>
      <c r="H53" s="167">
        <f>'[1]Classification prog-économi (2'!$S$47</f>
        <v>0</v>
      </c>
      <c r="I53" s="168">
        <v>0</v>
      </c>
      <c r="J53" s="144">
        <f t="shared" si="51"/>
        <v>159674.5</v>
      </c>
      <c r="K53" s="146">
        <f t="shared" si="43"/>
        <v>5558850.8020000001</v>
      </c>
      <c r="L53" s="140">
        <v>1055937.416</v>
      </c>
      <c r="M53" s="140">
        <v>1715802.0540000002</v>
      </c>
      <c r="N53" s="140">
        <v>596282.85400000005</v>
      </c>
      <c r="O53" s="145">
        <f t="shared" si="1"/>
        <v>3368022.324</v>
      </c>
      <c r="P53" s="140">
        <v>0</v>
      </c>
      <c r="Q53" s="209">
        <v>0</v>
      </c>
      <c r="R53" s="140">
        <v>0</v>
      </c>
      <c r="S53" s="144">
        <f t="shared" ref="S53:S56" si="57">P53+Q53+R53</f>
        <v>0</v>
      </c>
      <c r="T53" s="146">
        <f t="shared" si="3"/>
        <v>3368022.324</v>
      </c>
      <c r="U53" s="7">
        <v>1037309</v>
      </c>
      <c r="V53" s="7">
        <v>3460208</v>
      </c>
      <c r="W53" s="7">
        <v>839800</v>
      </c>
      <c r="X53" s="74">
        <f>U53+V53+W53</f>
        <v>5337317</v>
      </c>
      <c r="Y53" s="28">
        <v>0</v>
      </c>
      <c r="Z53" s="28">
        <v>0</v>
      </c>
      <c r="AA53" s="28">
        <v>0</v>
      </c>
      <c r="AB53" s="74">
        <f>SUM(Y53:AA53)</f>
        <v>0</v>
      </c>
      <c r="AC53" s="80">
        <f>X53+AB53</f>
        <v>5337317</v>
      </c>
      <c r="AD53" s="28">
        <v>1562408</v>
      </c>
      <c r="AE53" s="30">
        <v>3718670</v>
      </c>
      <c r="AF53" s="28">
        <v>680566</v>
      </c>
      <c r="AG53" s="74">
        <f>AD53+AE53+AF53</f>
        <v>5961644</v>
      </c>
      <c r="AH53" s="30">
        <v>0</v>
      </c>
      <c r="AI53" s="28">
        <v>0</v>
      </c>
      <c r="AJ53" s="28">
        <v>0</v>
      </c>
      <c r="AK53" s="74">
        <f>SUM(AH53:AJ53)</f>
        <v>0</v>
      </c>
      <c r="AL53" s="80">
        <f t="shared" si="45"/>
        <v>5961644</v>
      </c>
      <c r="AM53" s="19">
        <v>1704267</v>
      </c>
      <c r="AN53" s="19">
        <v>3610208</v>
      </c>
      <c r="AO53" s="19">
        <v>724800</v>
      </c>
      <c r="AP53" s="74">
        <f>AM53+AN53+AO53</f>
        <v>6039275</v>
      </c>
      <c r="AQ53" s="28">
        <v>0</v>
      </c>
      <c r="AR53" s="28">
        <v>0</v>
      </c>
      <c r="AS53" s="28">
        <v>0</v>
      </c>
      <c r="AT53" s="74">
        <f>SUM(AQ53:AS53)</f>
        <v>0</v>
      </c>
      <c r="AU53" s="80">
        <f t="shared" si="46"/>
        <v>6039275</v>
      </c>
      <c r="AV53" s="17">
        <v>1840140</v>
      </c>
      <c r="AW53" s="17">
        <v>3610208</v>
      </c>
      <c r="AX53" s="17">
        <v>724800</v>
      </c>
      <c r="AY53" s="98">
        <f t="shared" si="15"/>
        <v>6175148</v>
      </c>
      <c r="AZ53" s="28">
        <v>0</v>
      </c>
      <c r="BA53" s="28">
        <v>0</v>
      </c>
      <c r="BB53" s="28">
        <v>0</v>
      </c>
      <c r="BC53" s="98">
        <f t="shared" si="6"/>
        <v>0</v>
      </c>
      <c r="BD53" s="97">
        <f t="shared" si="7"/>
        <v>6175148</v>
      </c>
    </row>
    <row r="54" spans="1:56" ht="17.25" thickBot="1" x14ac:dyDescent="0.3">
      <c r="A54" s="88" t="s">
        <v>77</v>
      </c>
      <c r="B54" s="6" t="s">
        <v>78</v>
      </c>
      <c r="C54" s="30">
        <f>'[1]Classification prog-économi (2'!$D$48</f>
        <v>24326373.202999998</v>
      </c>
      <c r="D54" s="140">
        <v>842631.90499999991</v>
      </c>
      <c r="E54" s="140">
        <v>4752000</v>
      </c>
      <c r="F54" s="144">
        <f>SUM(C54:E54)</f>
        <v>29921005.107999999</v>
      </c>
      <c r="G54" s="102">
        <f>'[1]Classification prog-économi (2'!$P$48</f>
        <v>11630722.35</v>
      </c>
      <c r="H54" s="167">
        <f>'[1]Classification prog-économi (2'!$S$48</f>
        <v>2442513.9131172202</v>
      </c>
      <c r="I54" s="168">
        <f>500000+4299703</f>
        <v>4799703</v>
      </c>
      <c r="J54" s="144">
        <f t="shared" si="51"/>
        <v>14073236.26311722</v>
      </c>
      <c r="K54" s="146">
        <f t="shared" si="43"/>
        <v>43994241.371117219</v>
      </c>
      <c r="L54" s="140">
        <v>33435886.278999999</v>
      </c>
      <c r="M54" s="140">
        <v>816923.86199999996</v>
      </c>
      <c r="N54" s="140">
        <v>5252000</v>
      </c>
      <c r="O54" s="145">
        <f t="shared" si="1"/>
        <v>39504810.141000003</v>
      </c>
      <c r="P54" s="140">
        <v>12018692.578</v>
      </c>
      <c r="Q54" s="209">
        <v>117348.595</v>
      </c>
      <c r="R54" s="140">
        <v>1884356.6390000002</v>
      </c>
      <c r="S54" s="144">
        <f t="shared" si="57"/>
        <v>14020397.812000001</v>
      </c>
      <c r="T54" s="146">
        <f t="shared" si="3"/>
        <v>53525207.953000002</v>
      </c>
      <c r="U54" s="7">
        <v>38013009</v>
      </c>
      <c r="V54" s="7">
        <v>1541385</v>
      </c>
      <c r="W54" s="7">
        <v>4352000</v>
      </c>
      <c r="X54" s="74">
        <f>SUM(U54:W54)</f>
        <v>43906394</v>
      </c>
      <c r="Y54" s="35">
        <v>12994571</v>
      </c>
      <c r="Z54" s="30">
        <v>0</v>
      </c>
      <c r="AA54" s="30">
        <v>659388</v>
      </c>
      <c r="AB54" s="74">
        <f>SUM(Y54:AA54)</f>
        <v>13653959</v>
      </c>
      <c r="AC54" s="80">
        <f>X54+AB54</f>
        <v>57560353</v>
      </c>
      <c r="AD54" s="30">
        <v>37851533</v>
      </c>
      <c r="AE54" s="30">
        <v>1177157</v>
      </c>
      <c r="AF54" s="30">
        <v>4617000</v>
      </c>
      <c r="AG54" s="74">
        <f>SUM(AD54:AF54)</f>
        <v>43645690</v>
      </c>
      <c r="AH54" s="30">
        <f>720000+13504371</f>
        <v>14224371</v>
      </c>
      <c r="AI54" s="30">
        <v>0</v>
      </c>
      <c r="AJ54" s="30">
        <f>304000+10950000</f>
        <v>11254000</v>
      </c>
      <c r="AK54" s="74">
        <f>SUM(AH54:AJ54)</f>
        <v>25478371</v>
      </c>
      <c r="AL54" s="80">
        <f t="shared" si="45"/>
        <v>69124061</v>
      </c>
      <c r="AM54" s="19">
        <v>42191282</v>
      </c>
      <c r="AN54" s="19">
        <v>1541385</v>
      </c>
      <c r="AO54" s="19">
        <v>4317000</v>
      </c>
      <c r="AP54" s="74">
        <f>SUM(AM54:AO54)</f>
        <v>48049667</v>
      </c>
      <c r="AQ54" s="19">
        <f>720000+18451971</f>
        <v>19171971</v>
      </c>
      <c r="AR54" s="30">
        <v>0</v>
      </c>
      <c r="AS54" s="30">
        <v>6570000</v>
      </c>
      <c r="AT54" s="74">
        <f>SUM(AQ54:AS54)</f>
        <v>25741971</v>
      </c>
      <c r="AU54" s="80">
        <f t="shared" si="46"/>
        <v>73791638</v>
      </c>
      <c r="AV54" s="17">
        <v>46347853</v>
      </c>
      <c r="AW54" s="17">
        <v>1541385</v>
      </c>
      <c r="AX54" s="17">
        <v>4317000</v>
      </c>
      <c r="AY54" s="98">
        <f t="shared" si="15"/>
        <v>52206238</v>
      </c>
      <c r="AZ54" s="17">
        <v>17062500</v>
      </c>
      <c r="BA54" s="17">
        <v>0</v>
      </c>
      <c r="BB54" s="17">
        <v>0</v>
      </c>
      <c r="BC54" s="98">
        <f t="shared" si="6"/>
        <v>17062500</v>
      </c>
      <c r="BD54" s="97">
        <f t="shared" si="7"/>
        <v>69268738</v>
      </c>
    </row>
    <row r="55" spans="1:56" ht="17.25" thickBot="1" x14ac:dyDescent="0.3">
      <c r="A55" s="88" t="s">
        <v>79</v>
      </c>
      <c r="B55" s="6" t="s">
        <v>80</v>
      </c>
      <c r="C55" s="30">
        <f>'[1]Classification prog-économi (2'!$D$49</f>
        <v>135204.834</v>
      </c>
      <c r="D55" s="140">
        <v>45713.512999999999</v>
      </c>
      <c r="E55" s="140">
        <v>675000</v>
      </c>
      <c r="F55" s="144">
        <f>SUM(C55:E55)</f>
        <v>855918.34700000007</v>
      </c>
      <c r="G55" s="102">
        <v>0</v>
      </c>
      <c r="H55" s="167">
        <v>0</v>
      </c>
      <c r="I55" s="168">
        <v>0</v>
      </c>
      <c r="J55" s="144">
        <f>SUM(G55:I55)</f>
        <v>0</v>
      </c>
      <c r="K55" s="146">
        <f t="shared" si="43"/>
        <v>855918.34700000007</v>
      </c>
      <c r="L55" s="140">
        <v>339612.54499999998</v>
      </c>
      <c r="M55" s="140">
        <v>43936.152000000002</v>
      </c>
      <c r="N55" s="140">
        <v>620000</v>
      </c>
      <c r="O55" s="145">
        <f t="shared" si="1"/>
        <v>1003548.6969999999</v>
      </c>
      <c r="P55" s="140">
        <v>0</v>
      </c>
      <c r="Q55" s="209">
        <v>0</v>
      </c>
      <c r="R55" s="140">
        <v>0</v>
      </c>
      <c r="S55" s="144">
        <f t="shared" si="57"/>
        <v>0</v>
      </c>
      <c r="T55" s="146">
        <f t="shared" si="3"/>
        <v>1003548.6969999999</v>
      </c>
      <c r="U55" s="7">
        <v>388730</v>
      </c>
      <c r="V55" s="7">
        <v>56900</v>
      </c>
      <c r="W55" s="7">
        <v>675000</v>
      </c>
      <c r="X55" s="74">
        <f>SUM(U55:W55)</f>
        <v>1120630</v>
      </c>
      <c r="Y55" s="30">
        <v>0</v>
      </c>
      <c r="Z55" s="30">
        <v>0</v>
      </c>
      <c r="AA55" s="30">
        <v>0</v>
      </c>
      <c r="AB55" s="74">
        <f>SUM(Y55:AA55)</f>
        <v>0</v>
      </c>
      <c r="AC55" s="80">
        <f>X55+AB55</f>
        <v>1120630</v>
      </c>
      <c r="AD55" s="30">
        <v>414632</v>
      </c>
      <c r="AE55" s="30">
        <v>56900</v>
      </c>
      <c r="AF55" s="30">
        <v>675000</v>
      </c>
      <c r="AG55" s="74">
        <f>SUM(AD55:AF55)</f>
        <v>1146532</v>
      </c>
      <c r="AH55" s="30"/>
      <c r="AI55" s="30">
        <v>0</v>
      </c>
      <c r="AJ55" s="30">
        <v>0</v>
      </c>
      <c r="AK55" s="74">
        <f>SUM(AH55:AJ55)</f>
        <v>0</v>
      </c>
      <c r="AL55" s="80">
        <f t="shared" si="45"/>
        <v>1146532</v>
      </c>
      <c r="AM55" s="19">
        <v>471862</v>
      </c>
      <c r="AN55" s="19">
        <v>56900</v>
      </c>
      <c r="AO55" s="19">
        <v>675000</v>
      </c>
      <c r="AP55" s="74">
        <f>SUM(AM55:AO55)</f>
        <v>1203762</v>
      </c>
      <c r="AQ55" s="30">
        <v>0</v>
      </c>
      <c r="AR55" s="30">
        <v>0</v>
      </c>
      <c r="AS55" s="30">
        <v>0</v>
      </c>
      <c r="AT55" s="74">
        <f>SUM(AQ55:AS55)</f>
        <v>0</v>
      </c>
      <c r="AU55" s="80">
        <f t="shared" si="46"/>
        <v>1203762</v>
      </c>
      <c r="AV55" s="17">
        <v>526674</v>
      </c>
      <c r="AW55" s="17">
        <v>56900</v>
      </c>
      <c r="AX55" s="17">
        <v>675000</v>
      </c>
      <c r="AY55" s="98">
        <f t="shared" si="15"/>
        <v>1258574</v>
      </c>
      <c r="AZ55" s="17">
        <v>0</v>
      </c>
      <c r="BA55" s="17">
        <v>0</v>
      </c>
      <c r="BB55" s="17">
        <v>0</v>
      </c>
      <c r="BC55" s="98">
        <f t="shared" si="6"/>
        <v>0</v>
      </c>
      <c r="BD55" s="97">
        <f t="shared" si="7"/>
        <v>1258574</v>
      </c>
    </row>
    <row r="56" spans="1:56" ht="17.25" thickBot="1" x14ac:dyDescent="0.3">
      <c r="A56" s="89" t="s">
        <v>81</v>
      </c>
      <c r="B56" s="6" t="s">
        <v>82</v>
      </c>
      <c r="C56" s="35">
        <f>'[1]Classification prog-économi (2'!$D$50</f>
        <v>32916.165999999997</v>
      </c>
      <c r="D56" s="140">
        <v>59493.526000000005</v>
      </c>
      <c r="E56" s="140">
        <v>12545123.486</v>
      </c>
      <c r="F56" s="144">
        <f>SUM(C56:E56)</f>
        <v>12637533.177999999</v>
      </c>
      <c r="G56" s="103">
        <f>'[1]Classification prog-économi (2'!$P$50</f>
        <v>212406.85</v>
      </c>
      <c r="H56" s="167">
        <v>0</v>
      </c>
      <c r="I56" s="168">
        <v>1422732</v>
      </c>
      <c r="J56" s="144">
        <f>G56+H56</f>
        <v>212406.85</v>
      </c>
      <c r="K56" s="146">
        <f t="shared" si="43"/>
        <v>12849940.027999999</v>
      </c>
      <c r="L56" s="140">
        <v>176310.24400000001</v>
      </c>
      <c r="M56" s="140">
        <v>122952.98</v>
      </c>
      <c r="N56" s="140">
        <v>13178490.912999999</v>
      </c>
      <c r="O56" s="145">
        <f t="shared" si="1"/>
        <v>13477754.136999998</v>
      </c>
      <c r="P56" s="140">
        <v>200906.85</v>
      </c>
      <c r="Q56" s="209">
        <v>0</v>
      </c>
      <c r="R56" s="140">
        <v>35682.093000000001</v>
      </c>
      <c r="S56" s="144">
        <f t="shared" si="57"/>
        <v>236588.943</v>
      </c>
      <c r="T56" s="146">
        <f t="shared" si="3"/>
        <v>13714343.079999998</v>
      </c>
      <c r="U56" s="7">
        <v>130198</v>
      </c>
      <c r="V56" s="7">
        <v>178500</v>
      </c>
      <c r="W56" s="7">
        <v>16900000</v>
      </c>
      <c r="X56" s="74">
        <f>SUM(U56:W56)</f>
        <v>17208698</v>
      </c>
      <c r="Y56" s="35">
        <v>250000</v>
      </c>
      <c r="Z56" s="35">
        <v>0</v>
      </c>
      <c r="AA56" s="35">
        <v>0</v>
      </c>
      <c r="AB56" s="74">
        <f>SUM(Y56:AA56)</f>
        <v>250000</v>
      </c>
      <c r="AC56" s="80">
        <f>X56+AB56</f>
        <v>17458698</v>
      </c>
      <c r="AD56" s="35">
        <v>153215</v>
      </c>
      <c r="AE56" s="35">
        <v>178500</v>
      </c>
      <c r="AF56" s="35">
        <v>16900000</v>
      </c>
      <c r="AG56" s="74">
        <f>SUM(AD56:AF56)</f>
        <v>17231715</v>
      </c>
      <c r="AH56" s="35">
        <f>20000+230000</f>
        <v>250000</v>
      </c>
      <c r="AI56" s="35">
        <v>0</v>
      </c>
      <c r="AJ56" s="35">
        <v>0</v>
      </c>
      <c r="AK56" s="74">
        <f>SUM(AH56:AJ56)</f>
        <v>250000</v>
      </c>
      <c r="AL56" s="80">
        <f t="shared" si="45"/>
        <v>17481715</v>
      </c>
      <c r="AM56" s="19">
        <v>173782</v>
      </c>
      <c r="AN56" s="19">
        <v>178500</v>
      </c>
      <c r="AO56" s="19">
        <v>16900000</v>
      </c>
      <c r="AP56" s="74">
        <f>SUM(AM56:AO56)</f>
        <v>17252282</v>
      </c>
      <c r="AQ56" s="19">
        <v>300000</v>
      </c>
      <c r="AR56" s="35">
        <v>0</v>
      </c>
      <c r="AS56" s="35">
        <v>0</v>
      </c>
      <c r="AT56" s="74">
        <f>SUM(AQ56:AS56)</f>
        <v>300000</v>
      </c>
      <c r="AU56" s="80">
        <f t="shared" si="46"/>
        <v>17552282</v>
      </c>
      <c r="AV56" s="17">
        <v>193481</v>
      </c>
      <c r="AW56" s="17">
        <v>178500</v>
      </c>
      <c r="AX56" s="17">
        <v>16900000</v>
      </c>
      <c r="AY56" s="98">
        <f t="shared" si="15"/>
        <v>17271981</v>
      </c>
      <c r="AZ56" s="17">
        <v>0</v>
      </c>
      <c r="BA56" s="17">
        <v>0</v>
      </c>
      <c r="BB56" s="17">
        <v>0</v>
      </c>
      <c r="BC56" s="98">
        <f t="shared" si="6"/>
        <v>0</v>
      </c>
      <c r="BD56" s="97">
        <f t="shared" si="7"/>
        <v>17271981</v>
      </c>
    </row>
    <row r="57" spans="1:56" ht="16.5" customHeight="1" thickBot="1" x14ac:dyDescent="0.3">
      <c r="A57" s="188" t="s">
        <v>83</v>
      </c>
      <c r="B57" s="189"/>
      <c r="C57" s="141">
        <f>C58+C59+C60+C61</f>
        <v>74406130.767000005</v>
      </c>
      <c r="D57" s="141">
        <f>D58+D59+D60+D61</f>
        <v>18043487.003999997</v>
      </c>
      <c r="E57" s="142">
        <f>E58+E59+E60+E61</f>
        <v>5095081.75</v>
      </c>
      <c r="F57" s="143">
        <f>C57+D57+E57</f>
        <v>97544699.520999998</v>
      </c>
      <c r="G57" s="142">
        <f>G58+G59+G60+G61</f>
        <v>13922839</v>
      </c>
      <c r="H57" s="142">
        <f>H58+H59+H60+H61</f>
        <v>3007395.4114095904</v>
      </c>
      <c r="I57" s="142">
        <f>I58+I59+I60+I61</f>
        <v>25450000</v>
      </c>
      <c r="J57" s="143">
        <f>G57+H57</f>
        <v>16930234.41140959</v>
      </c>
      <c r="K57" s="146">
        <f t="shared" si="43"/>
        <v>114474933.93240958</v>
      </c>
      <c r="L57" s="141">
        <f>L58+L59+L60+L61</f>
        <v>83511714.428000003</v>
      </c>
      <c r="M57" s="141">
        <f>M58+M59+M60+M61</f>
        <v>27599408.001000002</v>
      </c>
      <c r="N57" s="141">
        <f>N58+N59+N60+N61</f>
        <v>5527216.6319999993</v>
      </c>
      <c r="O57" s="143">
        <f t="shared" si="1"/>
        <v>116638339.061</v>
      </c>
      <c r="P57" s="141">
        <f>P58+P59+P60+P61</f>
        <v>22448515</v>
      </c>
      <c r="Q57" s="141">
        <f>Q58+Q59+Q60+Q61</f>
        <v>0</v>
      </c>
      <c r="R57" s="141">
        <f>R58+R59+R60+R61</f>
        <v>1048381.4970000001</v>
      </c>
      <c r="S57" s="157">
        <f t="shared" si="2"/>
        <v>23496896.497000001</v>
      </c>
      <c r="T57" s="146">
        <f t="shared" si="3"/>
        <v>140135235.558</v>
      </c>
      <c r="U57" s="5">
        <f t="shared" ref="U57:AC57" si="58">U58+U59+U60+U61</f>
        <v>96649453</v>
      </c>
      <c r="V57" s="5">
        <f t="shared" si="58"/>
        <v>24302416</v>
      </c>
      <c r="W57" s="5">
        <f t="shared" si="58"/>
        <v>6736890</v>
      </c>
      <c r="X57" s="73">
        <f t="shared" si="58"/>
        <v>127688759</v>
      </c>
      <c r="Y57" s="5">
        <f t="shared" si="58"/>
        <v>26566646</v>
      </c>
      <c r="Z57" s="5">
        <f t="shared" si="58"/>
        <v>1109482</v>
      </c>
      <c r="AA57" s="5">
        <f t="shared" si="58"/>
        <v>43755441</v>
      </c>
      <c r="AB57" s="73">
        <f t="shared" si="58"/>
        <v>71431569</v>
      </c>
      <c r="AC57" s="80">
        <f t="shared" si="58"/>
        <v>199120328</v>
      </c>
      <c r="AD57" s="5">
        <f t="shared" ref="AD57:AT57" si="59">AD58+AD59+AD60+AD61</f>
        <v>94943069</v>
      </c>
      <c r="AE57" s="5">
        <f t="shared" si="59"/>
        <v>28098580</v>
      </c>
      <c r="AF57" s="5">
        <f t="shared" si="59"/>
        <v>9958403</v>
      </c>
      <c r="AG57" s="73">
        <f t="shared" si="59"/>
        <v>133000052</v>
      </c>
      <c r="AH57" s="5">
        <f t="shared" si="59"/>
        <v>20267370</v>
      </c>
      <c r="AI57" s="5">
        <f t="shared" si="59"/>
        <v>7379073</v>
      </c>
      <c r="AJ57" s="5">
        <f t="shared" si="59"/>
        <v>30189000</v>
      </c>
      <c r="AK57" s="73">
        <f t="shared" si="59"/>
        <v>57835443</v>
      </c>
      <c r="AL57" s="80">
        <f t="shared" si="59"/>
        <v>190835495</v>
      </c>
      <c r="AM57" s="5">
        <f t="shared" si="59"/>
        <v>104773723</v>
      </c>
      <c r="AN57" s="5">
        <f t="shared" si="59"/>
        <v>25937771</v>
      </c>
      <c r="AO57" s="5">
        <f t="shared" si="59"/>
        <v>10436890</v>
      </c>
      <c r="AP57" s="73">
        <f t="shared" si="59"/>
        <v>141148384</v>
      </c>
      <c r="AQ57" s="5">
        <f t="shared" si="59"/>
        <v>25648783</v>
      </c>
      <c r="AR57" s="5">
        <f t="shared" si="59"/>
        <v>6808974</v>
      </c>
      <c r="AS57" s="5">
        <f t="shared" si="59"/>
        <v>20250000</v>
      </c>
      <c r="AT57" s="73">
        <f t="shared" si="59"/>
        <v>52707757</v>
      </c>
      <c r="AU57" s="80">
        <f t="shared" si="46"/>
        <v>193856141</v>
      </c>
      <c r="AV57" s="5">
        <f>AV58+AV59+AV60+AV61</f>
        <v>113604648</v>
      </c>
      <c r="AW57" s="5">
        <f>AW58+AW59+AW60+AW61</f>
        <v>25937771</v>
      </c>
      <c r="AX57" s="5">
        <f>AX58+AX59+AX60+AX61</f>
        <v>10436890</v>
      </c>
      <c r="AY57" s="73">
        <f t="shared" si="15"/>
        <v>149979309</v>
      </c>
      <c r="AZ57" s="5">
        <f>AZ58+AZ59+AZ60+AZ61</f>
        <v>18000000</v>
      </c>
      <c r="BA57" s="5">
        <f>BA58+BA59+BA60+BA61</f>
        <v>6808975</v>
      </c>
      <c r="BB57" s="5">
        <f>BB58+BB59+BB60+BB61</f>
        <v>17000000</v>
      </c>
      <c r="BC57" s="73">
        <f t="shared" si="6"/>
        <v>41808975</v>
      </c>
      <c r="BD57" s="80">
        <f t="shared" si="7"/>
        <v>191788284</v>
      </c>
    </row>
    <row r="58" spans="1:56" ht="17.25" thickBot="1" x14ac:dyDescent="0.3">
      <c r="A58" s="88" t="s">
        <v>84</v>
      </c>
      <c r="B58" s="8" t="s">
        <v>85</v>
      </c>
      <c r="C58" s="28">
        <f>'[1]Classification prog-économi (2'!$D$52</f>
        <v>65957341.944999993</v>
      </c>
      <c r="D58" s="28">
        <f>'[1]Classification prog-économi (2'!$G$52</f>
        <v>4198046.5820000004</v>
      </c>
      <c r="E58" s="140">
        <v>335000</v>
      </c>
      <c r="F58" s="144">
        <f>SUM(C58:E58)</f>
        <v>70490388.526999995</v>
      </c>
      <c r="G58" s="99">
        <f>'[1]Classification prog-économi (2'!$P$52</f>
        <v>0</v>
      </c>
      <c r="H58" s="167">
        <f>'[1]Classification prog-économi (2'!$S$52</f>
        <v>0</v>
      </c>
      <c r="I58" s="168">
        <v>0</v>
      </c>
      <c r="J58" s="144">
        <f t="shared" ref="J58:J61" si="60">G58+H58+I58</f>
        <v>0</v>
      </c>
      <c r="K58" s="146">
        <f t="shared" si="43"/>
        <v>70490388.526999995</v>
      </c>
      <c r="L58" s="140">
        <v>73793198.417999998</v>
      </c>
      <c r="M58" s="140">
        <v>4249157.6560000004</v>
      </c>
      <c r="N58" s="140">
        <v>688657.63300000003</v>
      </c>
      <c r="O58" s="145">
        <f t="shared" si="1"/>
        <v>78731013.707000002</v>
      </c>
      <c r="P58" s="140">
        <v>0</v>
      </c>
      <c r="Q58" s="30">
        <v>0</v>
      </c>
      <c r="R58" s="140">
        <v>0</v>
      </c>
      <c r="S58" s="144">
        <f t="shared" si="2"/>
        <v>0</v>
      </c>
      <c r="T58" s="146">
        <f t="shared" si="3"/>
        <v>78731013.707000002</v>
      </c>
      <c r="U58" s="7">
        <v>90443612</v>
      </c>
      <c r="V58" s="7">
        <v>5280330</v>
      </c>
      <c r="W58" s="7">
        <v>1313487</v>
      </c>
      <c r="X58" s="74">
        <f>SUM(U58:W58)</f>
        <v>97037429</v>
      </c>
      <c r="Y58" s="7">
        <v>0</v>
      </c>
      <c r="Z58" s="7">
        <v>0</v>
      </c>
      <c r="AA58" s="7">
        <v>0</v>
      </c>
      <c r="AB58" s="74">
        <f>Y58+Z58+AA58</f>
        <v>0</v>
      </c>
      <c r="AC58" s="80">
        <f>X58+AB58</f>
        <v>97037429</v>
      </c>
      <c r="AD58" s="28">
        <v>88779127</v>
      </c>
      <c r="AE58" s="28">
        <v>5615547</v>
      </c>
      <c r="AF58" s="28">
        <v>700000</v>
      </c>
      <c r="AG58" s="74">
        <f>SUM(AD58:AF58)</f>
        <v>95094674</v>
      </c>
      <c r="AH58" s="28"/>
      <c r="AI58" s="28"/>
      <c r="AJ58" s="28"/>
      <c r="AK58" s="74">
        <f>AH58+AI58+AJ58</f>
        <v>0</v>
      </c>
      <c r="AL58" s="80">
        <f t="shared" si="45"/>
        <v>95094674</v>
      </c>
      <c r="AM58" s="7">
        <v>98479226</v>
      </c>
      <c r="AN58" s="7">
        <v>4950331</v>
      </c>
      <c r="AO58" s="7">
        <v>1313487</v>
      </c>
      <c r="AP58" s="74">
        <f>SUM(AM58:AO58)</f>
        <v>104743044</v>
      </c>
      <c r="AQ58" s="7">
        <v>0</v>
      </c>
      <c r="AR58" s="7">
        <v>0</v>
      </c>
      <c r="AS58" s="7">
        <v>0</v>
      </c>
      <c r="AT58" s="74">
        <f>AQ58+AR58+AS58</f>
        <v>0</v>
      </c>
      <c r="AU58" s="80">
        <f t="shared" si="46"/>
        <v>104743044</v>
      </c>
      <c r="AV58" s="17">
        <v>107221061</v>
      </c>
      <c r="AW58" s="17">
        <v>4950332</v>
      </c>
      <c r="AX58" s="17">
        <v>1313487</v>
      </c>
      <c r="AY58" s="98">
        <f t="shared" si="15"/>
        <v>113484880</v>
      </c>
      <c r="AZ58" s="17">
        <v>0</v>
      </c>
      <c r="BA58" s="17">
        <v>0</v>
      </c>
      <c r="BB58" s="17">
        <v>0</v>
      </c>
      <c r="BC58" s="98">
        <f t="shared" si="6"/>
        <v>0</v>
      </c>
      <c r="BD58" s="80">
        <f t="shared" si="7"/>
        <v>113484880</v>
      </c>
    </row>
    <row r="59" spans="1:56" ht="17.25" thickBot="1" x14ac:dyDescent="0.3">
      <c r="A59" s="88" t="s">
        <v>86</v>
      </c>
      <c r="B59" s="8" t="s">
        <v>87</v>
      </c>
      <c r="C59" s="30">
        <f>'[1]Classification prog-économi (2'!$D$53</f>
        <v>6213449.8859999999</v>
      </c>
      <c r="D59" s="30">
        <f>'[1]Classification prog-économi (2'!$G$53</f>
        <v>12605351.465</v>
      </c>
      <c r="E59" s="140">
        <v>3142617</v>
      </c>
      <c r="F59" s="144">
        <f>SUM(C59:E59)</f>
        <v>21961418.351</v>
      </c>
      <c r="G59" s="102">
        <f>'[1]Classification prog-économi (2'!$P$53</f>
        <v>100000</v>
      </c>
      <c r="H59" s="167">
        <f>'[1]Classification prog-économi (2'!$S$53</f>
        <v>2400638.0104095903</v>
      </c>
      <c r="I59" s="168">
        <v>4000000</v>
      </c>
      <c r="J59" s="144">
        <f>G59+H59</f>
        <v>2500638.0104095903</v>
      </c>
      <c r="K59" s="146">
        <f t="shared" si="43"/>
        <v>24462056.36140959</v>
      </c>
      <c r="L59" s="140">
        <v>2716593</v>
      </c>
      <c r="M59" s="210">
        <v>22188450.019000001</v>
      </c>
      <c r="N59" s="140">
        <v>3330982.9989999998</v>
      </c>
      <c r="O59" s="145">
        <f t="shared" si="1"/>
        <v>28236026.017999999</v>
      </c>
      <c r="P59" s="140">
        <v>1485000</v>
      </c>
      <c r="Q59" s="30">
        <v>0</v>
      </c>
      <c r="R59" s="140">
        <v>0</v>
      </c>
      <c r="S59" s="144">
        <f t="shared" si="2"/>
        <v>1485000</v>
      </c>
      <c r="T59" s="146">
        <f t="shared" si="3"/>
        <v>29721026.017999999</v>
      </c>
      <c r="U59" s="7">
        <v>2906035</v>
      </c>
      <c r="V59" s="7">
        <v>17576343</v>
      </c>
      <c r="W59" s="7">
        <v>3658047</v>
      </c>
      <c r="X59" s="74">
        <f>SUM(U59:W59)</f>
        <v>24140425</v>
      </c>
      <c r="Y59" s="7">
        <v>2085000</v>
      </c>
      <c r="Z59" s="7">
        <v>0</v>
      </c>
      <c r="AA59" s="7">
        <v>525556</v>
      </c>
      <c r="AB59" s="74">
        <f>Y59+Z59+AA59</f>
        <v>2610556</v>
      </c>
      <c r="AC59" s="80">
        <f>X59+AB59</f>
        <v>26750981</v>
      </c>
      <c r="AD59" s="30">
        <v>2885371</v>
      </c>
      <c r="AE59" s="30">
        <v>20926290</v>
      </c>
      <c r="AF59" s="30">
        <v>7388047</v>
      </c>
      <c r="AG59" s="74">
        <f>SUM(AD59:AF59)</f>
        <v>31199708</v>
      </c>
      <c r="AH59" s="30">
        <f>2085000</f>
        <v>2085000</v>
      </c>
      <c r="AI59" s="30"/>
      <c r="AJ59" s="30">
        <v>5500000</v>
      </c>
      <c r="AK59" s="74">
        <f>AH59+AI59+AJ59</f>
        <v>7585000</v>
      </c>
      <c r="AL59" s="80">
        <f t="shared" si="45"/>
        <v>38784708</v>
      </c>
      <c r="AM59" s="7">
        <v>2958193</v>
      </c>
      <c r="AN59" s="7">
        <v>19629756</v>
      </c>
      <c r="AO59" s="7">
        <v>7358047</v>
      </c>
      <c r="AP59" s="74">
        <f>SUM(AM59:AO59)</f>
        <v>29945996</v>
      </c>
      <c r="AQ59" s="7">
        <v>2085000</v>
      </c>
      <c r="AR59" s="7">
        <v>0</v>
      </c>
      <c r="AS59" s="7">
        <v>0</v>
      </c>
      <c r="AT59" s="74">
        <f>AQ59+AR59+AS59</f>
        <v>2085000</v>
      </c>
      <c r="AU59" s="80">
        <f t="shared" si="46"/>
        <v>32030996</v>
      </c>
      <c r="AV59" s="17">
        <v>3010607</v>
      </c>
      <c r="AW59" s="17">
        <v>19629756</v>
      </c>
      <c r="AX59" s="17">
        <v>7358047</v>
      </c>
      <c r="AY59" s="98">
        <f t="shared" si="15"/>
        <v>29998410</v>
      </c>
      <c r="AZ59" s="17">
        <v>0</v>
      </c>
      <c r="BA59" s="17">
        <v>0</v>
      </c>
      <c r="BB59" s="17">
        <v>0</v>
      </c>
      <c r="BC59" s="98">
        <f t="shared" si="6"/>
        <v>0</v>
      </c>
      <c r="BD59" s="80">
        <f t="shared" si="7"/>
        <v>29998410</v>
      </c>
    </row>
    <row r="60" spans="1:56" ht="33" customHeight="1" thickBot="1" x14ac:dyDescent="0.3">
      <c r="A60" s="88" t="s">
        <v>88</v>
      </c>
      <c r="B60" s="9" t="s">
        <v>89</v>
      </c>
      <c r="C60" s="30">
        <f>'[1]Classification prog-économi (2'!$D$54</f>
        <v>2235338.9360000002</v>
      </c>
      <c r="D60" s="30">
        <f>'[1]Classification prog-économi (2'!$G$54</f>
        <v>1103833.6500000001</v>
      </c>
      <c r="E60" s="140">
        <v>1496324.75</v>
      </c>
      <c r="F60" s="144">
        <f>SUM(C60:E60)</f>
        <v>4835497.3360000001</v>
      </c>
      <c r="G60" s="102">
        <f>'[1]Classification prog-économi (2'!$P$54</f>
        <v>13822839</v>
      </c>
      <c r="H60" s="167">
        <f>'[1]Classification prog-économi (2'!$S$54</f>
        <v>606757.40099999995</v>
      </c>
      <c r="I60" s="168">
        <v>21450000</v>
      </c>
      <c r="J60" s="144">
        <f>G60+H60</f>
        <v>14429596.401000001</v>
      </c>
      <c r="K60" s="146">
        <f t="shared" si="43"/>
        <v>19265093.737</v>
      </c>
      <c r="L60" s="140">
        <v>2569147.5300000003</v>
      </c>
      <c r="M60" s="140">
        <v>1029618.9970000001</v>
      </c>
      <c r="N60" s="140">
        <v>1382436</v>
      </c>
      <c r="O60" s="145">
        <f t="shared" si="1"/>
        <v>4981202.5270000007</v>
      </c>
      <c r="P60" s="140">
        <v>20963515</v>
      </c>
      <c r="Q60" s="30">
        <v>0</v>
      </c>
      <c r="R60" s="211">
        <v>1048381.4970000001</v>
      </c>
      <c r="S60" s="144">
        <f t="shared" si="2"/>
        <v>22011896.497000001</v>
      </c>
      <c r="T60" s="146">
        <f t="shared" si="3"/>
        <v>26993099.024000004</v>
      </c>
      <c r="U60" s="7">
        <v>3113066</v>
      </c>
      <c r="V60" s="7">
        <v>1208669</v>
      </c>
      <c r="W60" s="7">
        <v>1629816</v>
      </c>
      <c r="X60" s="74">
        <f>SUM(U60:W60)</f>
        <v>5951551</v>
      </c>
      <c r="Y60" s="7">
        <v>24481646</v>
      </c>
      <c r="Z60" s="7">
        <v>1109482</v>
      </c>
      <c r="AA60" s="7">
        <v>43229885</v>
      </c>
      <c r="AB60" s="74">
        <f>Y60+Z60+AA60</f>
        <v>68821013</v>
      </c>
      <c r="AC60" s="80">
        <f>X60+AB60</f>
        <v>74772564</v>
      </c>
      <c r="AD60" s="30">
        <v>3150805</v>
      </c>
      <c r="AE60" s="30">
        <v>1319669</v>
      </c>
      <c r="AF60" s="30">
        <v>1684816</v>
      </c>
      <c r="AG60" s="74">
        <f>SUM(AD60:AF60)</f>
        <v>6155290</v>
      </c>
      <c r="AH60" s="30">
        <v>18182370</v>
      </c>
      <c r="AI60" s="30">
        <f>114974+7264099</f>
        <v>7379073</v>
      </c>
      <c r="AJ60" s="30">
        <f>4189000+20500000</f>
        <v>24689000</v>
      </c>
      <c r="AK60" s="74">
        <f>AH60+AI60+AJ60</f>
        <v>50250443</v>
      </c>
      <c r="AL60" s="80">
        <f t="shared" si="45"/>
        <v>56405733</v>
      </c>
      <c r="AM60" s="7">
        <v>3132303</v>
      </c>
      <c r="AN60" s="7">
        <v>1135050</v>
      </c>
      <c r="AO60" s="7">
        <v>1629816</v>
      </c>
      <c r="AP60" s="74">
        <f>SUM(AM60:AO60)</f>
        <v>5897169</v>
      </c>
      <c r="AQ60" s="7">
        <v>23563783</v>
      </c>
      <c r="AR60" s="7">
        <v>6808974</v>
      </c>
      <c r="AS60" s="7">
        <f>2250000+18000000</f>
        <v>20250000</v>
      </c>
      <c r="AT60" s="74">
        <f>AQ60+AR60+AS60</f>
        <v>50622757</v>
      </c>
      <c r="AU60" s="80">
        <f t="shared" si="46"/>
        <v>56519926</v>
      </c>
      <c r="AV60" s="17">
        <v>3151634</v>
      </c>
      <c r="AW60" s="17">
        <v>1135049</v>
      </c>
      <c r="AX60" s="17">
        <v>1629816</v>
      </c>
      <c r="AY60" s="98">
        <f t="shared" si="15"/>
        <v>5916499</v>
      </c>
      <c r="AZ60" s="17">
        <v>18000000</v>
      </c>
      <c r="BA60" s="17">
        <v>6808975</v>
      </c>
      <c r="BB60" s="17">
        <v>17000000</v>
      </c>
      <c r="BC60" s="98">
        <f t="shared" si="6"/>
        <v>41808975</v>
      </c>
      <c r="BD60" s="80">
        <f t="shared" si="7"/>
        <v>47725474</v>
      </c>
    </row>
    <row r="61" spans="1:56" ht="17.25" thickBot="1" x14ac:dyDescent="0.3">
      <c r="A61" s="89" t="s">
        <v>90</v>
      </c>
      <c r="B61" s="9" t="s">
        <v>271</v>
      </c>
      <c r="C61" s="35">
        <f>'[1]Classification prog-économi (2'!$D$55</f>
        <v>0</v>
      </c>
      <c r="D61" s="35">
        <f>'[1]Classification prog-économi (2'!$G$55</f>
        <v>136255.307</v>
      </c>
      <c r="E61" s="140">
        <v>121140</v>
      </c>
      <c r="F61" s="144">
        <f>SUM(C61:E61)</f>
        <v>257395.307</v>
      </c>
      <c r="G61" s="103">
        <f>'[1]Classification prog-économi (2'!$P$55</f>
        <v>0</v>
      </c>
      <c r="H61" s="167">
        <v>0</v>
      </c>
      <c r="I61" s="168">
        <v>0</v>
      </c>
      <c r="J61" s="144">
        <f t="shared" si="60"/>
        <v>0</v>
      </c>
      <c r="K61" s="146">
        <f t="shared" si="43"/>
        <v>257395.307</v>
      </c>
      <c r="L61" s="140">
        <v>4432775.4800000004</v>
      </c>
      <c r="M61" s="140">
        <v>132181.329</v>
      </c>
      <c r="N61" s="140">
        <v>125140</v>
      </c>
      <c r="O61" s="145">
        <f t="shared" si="1"/>
        <v>4690096.8090000004</v>
      </c>
      <c r="P61" s="140">
        <v>0</v>
      </c>
      <c r="Q61" s="30">
        <v>0</v>
      </c>
      <c r="R61" s="140">
        <v>0</v>
      </c>
      <c r="S61" s="144">
        <f t="shared" si="2"/>
        <v>0</v>
      </c>
      <c r="T61" s="146">
        <f t="shared" si="3"/>
        <v>4690096.8090000004</v>
      </c>
      <c r="U61" s="7">
        <v>186740</v>
      </c>
      <c r="V61" s="7">
        <v>237074</v>
      </c>
      <c r="W61" s="7">
        <v>135540</v>
      </c>
      <c r="X61" s="74">
        <f>SUM(U61:W61)</f>
        <v>559354</v>
      </c>
      <c r="Y61" s="7">
        <v>0</v>
      </c>
      <c r="Z61" s="7">
        <v>0</v>
      </c>
      <c r="AA61" s="7"/>
      <c r="AB61" s="74">
        <f>Y61+Z61+AA61</f>
        <v>0</v>
      </c>
      <c r="AC61" s="80">
        <f>X61+AB61</f>
        <v>559354</v>
      </c>
      <c r="AD61" s="35">
        <v>127766</v>
      </c>
      <c r="AE61" s="35">
        <v>237074</v>
      </c>
      <c r="AF61" s="35">
        <v>185540</v>
      </c>
      <c r="AG61" s="74">
        <f>SUM(AD61:AF61)</f>
        <v>550380</v>
      </c>
      <c r="AH61" s="35"/>
      <c r="AI61" s="35"/>
      <c r="AJ61" s="35"/>
      <c r="AK61" s="74">
        <f>AH61+AI61+AJ61</f>
        <v>0</v>
      </c>
      <c r="AL61" s="80">
        <f t="shared" si="45"/>
        <v>550380</v>
      </c>
      <c r="AM61" s="19">
        <v>204001</v>
      </c>
      <c r="AN61" s="19">
        <v>222634</v>
      </c>
      <c r="AO61" s="19">
        <v>135540</v>
      </c>
      <c r="AP61" s="74">
        <f>SUM(AM61:AO61)</f>
        <v>562175</v>
      </c>
      <c r="AQ61" s="7">
        <v>0</v>
      </c>
      <c r="AR61" s="7">
        <v>0</v>
      </c>
      <c r="AS61" s="7"/>
      <c r="AT61" s="74">
        <f>AQ61+AR61+AS61</f>
        <v>0</v>
      </c>
      <c r="AU61" s="80">
        <f t="shared" si="46"/>
        <v>562175</v>
      </c>
      <c r="AV61" s="17">
        <v>221346</v>
      </c>
      <c r="AW61" s="17">
        <v>222634</v>
      </c>
      <c r="AX61" s="17">
        <v>135540</v>
      </c>
      <c r="AY61" s="98">
        <f t="shared" si="15"/>
        <v>579520</v>
      </c>
      <c r="AZ61" s="17">
        <v>0</v>
      </c>
      <c r="BA61" s="17">
        <v>0</v>
      </c>
      <c r="BB61" s="17">
        <v>0</v>
      </c>
      <c r="BC61" s="98">
        <f t="shared" si="6"/>
        <v>0</v>
      </c>
      <c r="BD61" s="80">
        <f t="shared" si="7"/>
        <v>579520</v>
      </c>
    </row>
    <row r="62" spans="1:56" ht="17.25" thickBot="1" x14ac:dyDescent="0.3">
      <c r="A62" s="171" t="s">
        <v>91</v>
      </c>
      <c r="B62" s="172"/>
      <c r="C62" s="141">
        <f>C63+C64+C65+C66</f>
        <v>109030638.499</v>
      </c>
      <c r="D62" s="141">
        <f>D63+D64+D65+D66</f>
        <v>9329545.1889999993</v>
      </c>
      <c r="E62" s="142">
        <f>E63+E64+E65+E66</f>
        <v>21967561.914999999</v>
      </c>
      <c r="F62" s="143">
        <f>C62+D62+E62</f>
        <v>140327745.60299999</v>
      </c>
      <c r="G62" s="142">
        <f>G63+G64+G65+G66</f>
        <v>7430216.2820000006</v>
      </c>
      <c r="H62" s="142">
        <f>H63+H64+H65+H66</f>
        <v>9146625.4146587197</v>
      </c>
      <c r="I62" s="142">
        <f>I63+I64+I65+I66</f>
        <v>9146625.4146587197</v>
      </c>
      <c r="J62" s="143">
        <f>G62+H62</f>
        <v>16576841.696658719</v>
      </c>
      <c r="K62" s="146">
        <f>K63+K64+K65+K66</f>
        <v>158458867.29965872</v>
      </c>
      <c r="L62" s="141">
        <f>L63+L64+L65+L66</f>
        <v>123476171.14300001</v>
      </c>
      <c r="M62" s="141">
        <f>M63+M64+M65+M66</f>
        <v>16265101.003999999</v>
      </c>
      <c r="N62" s="141">
        <f>N63+N64+N65+N66</f>
        <v>22391935</v>
      </c>
      <c r="O62" s="143">
        <f t="shared" si="1"/>
        <v>162133207.14700001</v>
      </c>
      <c r="P62" s="141">
        <f>P63+P64+P65+P66</f>
        <v>3218963.3470000001</v>
      </c>
      <c r="Q62" s="141">
        <f>Q63+Q64+Q65+Q66</f>
        <v>0</v>
      </c>
      <c r="R62" s="141">
        <f>R63+R64+R65+R66</f>
        <v>48806.942999999999</v>
      </c>
      <c r="S62" s="157">
        <f t="shared" si="2"/>
        <v>3267770.29</v>
      </c>
      <c r="T62" s="146">
        <f>T63+T64+T65+T66</f>
        <v>169543277.43700001</v>
      </c>
      <c r="U62" s="5">
        <f t="shared" ref="U62:AC62" si="61">U63+U64+U65+U66</f>
        <v>128488201</v>
      </c>
      <c r="V62" s="5">
        <f t="shared" si="61"/>
        <v>20415196</v>
      </c>
      <c r="W62" s="5">
        <f t="shared" si="61"/>
        <v>21105545</v>
      </c>
      <c r="X62" s="73">
        <f t="shared" si="61"/>
        <v>170008942</v>
      </c>
      <c r="Y62" s="5">
        <f t="shared" si="61"/>
        <v>7884000</v>
      </c>
      <c r="Z62" s="5">
        <f t="shared" si="61"/>
        <v>0</v>
      </c>
      <c r="AA62" s="5">
        <f t="shared" si="61"/>
        <v>0</v>
      </c>
      <c r="AB62" s="73">
        <f t="shared" si="61"/>
        <v>7884000</v>
      </c>
      <c r="AC62" s="80">
        <f t="shared" si="61"/>
        <v>177892942</v>
      </c>
      <c r="AD62" s="5">
        <f t="shared" ref="AD62:AT62" si="62">AD63+AD64+AD65+AD66</f>
        <v>150455330</v>
      </c>
      <c r="AE62" s="5">
        <f t="shared" si="62"/>
        <v>22652542</v>
      </c>
      <c r="AF62" s="5">
        <f t="shared" si="62"/>
        <v>36105545</v>
      </c>
      <c r="AG62" s="73">
        <f t="shared" si="62"/>
        <v>209213417</v>
      </c>
      <c r="AH62" s="5">
        <f t="shared" si="62"/>
        <v>6973200</v>
      </c>
      <c r="AI62" s="5">
        <f t="shared" si="62"/>
        <v>0</v>
      </c>
      <c r="AJ62" s="5">
        <f t="shared" si="62"/>
        <v>0</v>
      </c>
      <c r="AK62" s="73">
        <f t="shared" si="62"/>
        <v>6973200</v>
      </c>
      <c r="AL62" s="80">
        <f t="shared" si="62"/>
        <v>216186617</v>
      </c>
      <c r="AM62" s="5">
        <f>AM63+AM64+AM65+AM66</f>
        <v>164466637</v>
      </c>
      <c r="AN62" s="5">
        <f>AN63+AN64+AN65+AN66</f>
        <v>21529143</v>
      </c>
      <c r="AO62" s="5">
        <f>AO63+AO64+AO65+AO66</f>
        <v>36105545</v>
      </c>
      <c r="AP62" s="73">
        <f t="shared" si="62"/>
        <v>222101325</v>
      </c>
      <c r="AQ62" s="5">
        <f t="shared" si="62"/>
        <v>8171860</v>
      </c>
      <c r="AR62" s="5">
        <f t="shared" si="62"/>
        <v>0</v>
      </c>
      <c r="AS62" s="5">
        <f t="shared" si="62"/>
        <v>0</v>
      </c>
      <c r="AT62" s="73">
        <f t="shared" si="62"/>
        <v>8171860</v>
      </c>
      <c r="AU62" s="80">
        <f t="shared" si="46"/>
        <v>230273185</v>
      </c>
      <c r="AV62" s="5">
        <f>AV63+AV64+AV65+AV66</f>
        <v>177281466</v>
      </c>
      <c r="AW62" s="5">
        <f>AW63+AW64+AW65+AW66</f>
        <v>21529142</v>
      </c>
      <c r="AX62" s="5">
        <f>AX63+AX64+AX65+AX66</f>
        <v>36105545</v>
      </c>
      <c r="AY62" s="73">
        <f t="shared" si="15"/>
        <v>234916153</v>
      </c>
      <c r="AZ62" s="5">
        <f>AZ63+AZ64+AZ65+AZ66</f>
        <v>8380453</v>
      </c>
      <c r="BA62" s="5">
        <f>BA63+BA64+BA65+BA66</f>
        <v>0</v>
      </c>
      <c r="BB62" s="5">
        <f>BB63+BB64+BB65+BB66</f>
        <v>0</v>
      </c>
      <c r="BC62" s="73">
        <f t="shared" si="6"/>
        <v>8380453</v>
      </c>
      <c r="BD62" s="80">
        <f t="shared" si="7"/>
        <v>243296606</v>
      </c>
    </row>
    <row r="63" spans="1:56" ht="17.25" thickBot="1" x14ac:dyDescent="0.3">
      <c r="A63" s="88" t="s">
        <v>92</v>
      </c>
      <c r="B63" s="6" t="s">
        <v>93</v>
      </c>
      <c r="C63" s="30">
        <f>'[1]Classification prog-économi (2'!$D$57</f>
        <v>102257216.521</v>
      </c>
      <c r="D63" s="30">
        <v>7326277.2630000003</v>
      </c>
      <c r="E63" s="30">
        <v>73851.915000000008</v>
      </c>
      <c r="F63" s="144">
        <f>SUM(C63:E63)</f>
        <v>109657345.699</v>
      </c>
      <c r="G63" s="30">
        <v>7335.6670000000004</v>
      </c>
      <c r="H63" s="30">
        <v>0</v>
      </c>
      <c r="I63" s="30">
        <v>0</v>
      </c>
      <c r="J63" s="144">
        <f>G63+H63</f>
        <v>7335.6670000000004</v>
      </c>
      <c r="K63" s="146">
        <f t="shared" si="43"/>
        <v>109664681.366</v>
      </c>
      <c r="L63" s="140">
        <v>118732611.391</v>
      </c>
      <c r="M63" s="140">
        <v>12744927.209999999</v>
      </c>
      <c r="N63" s="140">
        <v>200000</v>
      </c>
      <c r="O63" s="145">
        <f t="shared" si="1"/>
        <v>131677538.601</v>
      </c>
      <c r="P63" s="140">
        <v>0</v>
      </c>
      <c r="Q63" s="140">
        <v>0</v>
      </c>
      <c r="R63" s="140">
        <v>0</v>
      </c>
      <c r="S63" s="144">
        <f t="shared" si="2"/>
        <v>0</v>
      </c>
      <c r="T63" s="146">
        <f t="shared" si="3"/>
        <v>131677538.601</v>
      </c>
      <c r="U63" s="7">
        <v>124274068</v>
      </c>
      <c r="V63" s="7">
        <v>15867761</v>
      </c>
      <c r="W63" s="7">
        <v>631331</v>
      </c>
      <c r="X63" s="74">
        <f>SUM(U63:W63)</f>
        <v>140773160</v>
      </c>
      <c r="Y63" s="7">
        <v>0</v>
      </c>
      <c r="Z63" s="7"/>
      <c r="AA63" s="7"/>
      <c r="AB63" s="74">
        <f>SUM(Y63:AA63)</f>
        <v>0</v>
      </c>
      <c r="AC63" s="80">
        <f t="shared" ref="AC63:AC71" si="63">X63+AB63</f>
        <v>140773160</v>
      </c>
      <c r="AD63" s="31">
        <v>145574800</v>
      </c>
      <c r="AE63" s="31">
        <v>17844952</v>
      </c>
      <c r="AF63" s="31">
        <v>303500</v>
      </c>
      <c r="AG63" s="74">
        <f>SUM(AD63:AF63)</f>
        <v>163723252</v>
      </c>
      <c r="AH63" s="7">
        <v>0</v>
      </c>
      <c r="AI63" s="7"/>
      <c r="AJ63" s="7"/>
      <c r="AK63" s="74">
        <f>SUM(AH63:AJ63)</f>
        <v>0</v>
      </c>
      <c r="AL63" s="80">
        <f t="shared" si="45"/>
        <v>163723252</v>
      </c>
      <c r="AM63" s="7">
        <v>159632800</v>
      </c>
      <c r="AN63" s="7">
        <v>16933166</v>
      </c>
      <c r="AO63" s="7">
        <v>303500</v>
      </c>
      <c r="AP63" s="74">
        <f>SUM(AM63:AO63)</f>
        <v>176869466</v>
      </c>
      <c r="AQ63" s="7">
        <v>0</v>
      </c>
      <c r="AR63" s="7"/>
      <c r="AS63" s="7"/>
      <c r="AT63" s="74">
        <f>SUM(AQ63:AS63)</f>
        <v>0</v>
      </c>
      <c r="AU63" s="80">
        <f t="shared" si="46"/>
        <v>176869466</v>
      </c>
      <c r="AV63" s="17">
        <v>172070989</v>
      </c>
      <c r="AW63" s="17">
        <v>16933166</v>
      </c>
      <c r="AX63" s="17">
        <v>303500</v>
      </c>
      <c r="AY63" s="98">
        <f t="shared" si="15"/>
        <v>189307655</v>
      </c>
      <c r="AZ63" s="7">
        <v>0</v>
      </c>
      <c r="BA63" s="7">
        <v>0</v>
      </c>
      <c r="BB63" s="7">
        <v>0</v>
      </c>
      <c r="BC63" s="98">
        <f t="shared" si="6"/>
        <v>0</v>
      </c>
      <c r="BD63" s="80">
        <f t="shared" si="7"/>
        <v>189307655</v>
      </c>
    </row>
    <row r="64" spans="1:56" ht="17.25" thickBot="1" x14ac:dyDescent="0.3">
      <c r="A64" s="88" t="s">
        <v>94</v>
      </c>
      <c r="B64" s="6" t="s">
        <v>95</v>
      </c>
      <c r="C64" s="30">
        <v>3689534.6779999998</v>
      </c>
      <c r="D64" s="30">
        <v>232422.29499999998</v>
      </c>
      <c r="E64" s="30">
        <v>21768710</v>
      </c>
      <c r="F64" s="144">
        <f>SUM(C64:E64)</f>
        <v>25690666.973000001</v>
      </c>
      <c r="G64" s="30">
        <v>7422880.6150000002</v>
      </c>
      <c r="H64" s="30">
        <v>9146625.4146587197</v>
      </c>
      <c r="I64" s="30">
        <v>9146625.4146587197</v>
      </c>
      <c r="J64" s="144">
        <f>G64+H64</f>
        <v>16569506.02965872</v>
      </c>
      <c r="K64" s="146">
        <f t="shared" si="43"/>
        <v>42260173.002658725</v>
      </c>
      <c r="L64" s="140">
        <v>286326.34100000001</v>
      </c>
      <c r="M64" s="140">
        <v>245628.52199999997</v>
      </c>
      <c r="N64" s="140">
        <v>21831935</v>
      </c>
      <c r="O64" s="145">
        <f t="shared" si="1"/>
        <v>22363889.863000002</v>
      </c>
      <c r="P64" s="140">
        <v>3218963.3470000001</v>
      </c>
      <c r="Q64" s="140">
        <v>0</v>
      </c>
      <c r="R64" s="140">
        <v>48806.942999999999</v>
      </c>
      <c r="S64" s="144">
        <f t="shared" si="2"/>
        <v>3267770.29</v>
      </c>
      <c r="T64" s="146">
        <f t="shared" si="3"/>
        <v>25631660.153000001</v>
      </c>
      <c r="U64" s="7">
        <v>286326</v>
      </c>
      <c r="V64" s="7">
        <v>267389</v>
      </c>
      <c r="W64" s="7">
        <v>20114214</v>
      </c>
      <c r="X64" s="74">
        <f>SUM(U64:W64)</f>
        <v>20667929</v>
      </c>
      <c r="Y64" s="7">
        <v>7884000</v>
      </c>
      <c r="Z64" s="7">
        <v>0</v>
      </c>
      <c r="AA64" s="7">
        <v>0</v>
      </c>
      <c r="AB64" s="74">
        <f>SUM(Y64:AA64)</f>
        <v>7884000</v>
      </c>
      <c r="AC64" s="80">
        <f t="shared" si="63"/>
        <v>28551929</v>
      </c>
      <c r="AD64" s="32">
        <v>568946</v>
      </c>
      <c r="AE64" s="32">
        <v>276389</v>
      </c>
      <c r="AF64" s="32">
        <v>35442045</v>
      </c>
      <c r="AG64" s="74">
        <f>SUM(AD64:AF64)</f>
        <v>36287380</v>
      </c>
      <c r="AH64" s="32">
        <v>6973200</v>
      </c>
      <c r="AI64" s="7">
        <v>0</v>
      </c>
      <c r="AJ64" s="7">
        <v>0</v>
      </c>
      <c r="AK64" s="74">
        <f>SUM(AH64:AJ64)</f>
        <v>6973200</v>
      </c>
      <c r="AL64" s="80">
        <f t="shared" si="45"/>
        <v>43260580</v>
      </c>
      <c r="AM64" s="7">
        <v>621930</v>
      </c>
      <c r="AN64" s="7">
        <v>281645</v>
      </c>
      <c r="AO64" s="7">
        <v>35442045</v>
      </c>
      <c r="AP64" s="74">
        <f>SUM(AM64:AO64)</f>
        <v>36345620</v>
      </c>
      <c r="AQ64" s="7">
        <v>8171860</v>
      </c>
      <c r="AR64" s="7">
        <v>0</v>
      </c>
      <c r="AS64" s="7">
        <v>0</v>
      </c>
      <c r="AT64" s="74">
        <f>SUM(AQ64:AS64)</f>
        <v>8171860</v>
      </c>
      <c r="AU64" s="80">
        <f t="shared" si="46"/>
        <v>44517480</v>
      </c>
      <c r="AV64" s="17">
        <v>670389</v>
      </c>
      <c r="AW64" s="17">
        <v>281644</v>
      </c>
      <c r="AX64" s="17">
        <v>35442045</v>
      </c>
      <c r="AY64" s="98">
        <f t="shared" si="15"/>
        <v>36394078</v>
      </c>
      <c r="AZ64" s="17">
        <v>8380453</v>
      </c>
      <c r="BA64" s="7">
        <v>0</v>
      </c>
      <c r="BB64" s="7">
        <v>0</v>
      </c>
      <c r="BC64" s="98">
        <f t="shared" si="6"/>
        <v>8380453</v>
      </c>
      <c r="BD64" s="80">
        <f t="shared" si="7"/>
        <v>44774531</v>
      </c>
    </row>
    <row r="65" spans="1:56" ht="17.25" thickBot="1" x14ac:dyDescent="0.3">
      <c r="A65" s="89" t="s">
        <v>96</v>
      </c>
      <c r="B65" s="6" t="s">
        <v>97</v>
      </c>
      <c r="C65" s="30">
        <v>3083887.3</v>
      </c>
      <c r="D65" s="30">
        <v>1770845.6309999998</v>
      </c>
      <c r="E65" s="30">
        <v>125000</v>
      </c>
      <c r="F65" s="144">
        <f>SUM(C65:E65)</f>
        <v>4979732.9309999999</v>
      </c>
      <c r="G65" s="30">
        <v>0</v>
      </c>
      <c r="H65" s="30">
        <v>0</v>
      </c>
      <c r="I65" s="30">
        <v>0</v>
      </c>
      <c r="J65" s="144">
        <f>SUM(G65:I65)</f>
        <v>0</v>
      </c>
      <c r="K65" s="146">
        <f t="shared" si="43"/>
        <v>4979732.9309999999</v>
      </c>
      <c r="L65" s="140">
        <v>4457233.4110000003</v>
      </c>
      <c r="M65" s="140">
        <v>3274545.2719999999</v>
      </c>
      <c r="N65" s="140">
        <v>360000</v>
      </c>
      <c r="O65" s="145">
        <f t="shared" si="1"/>
        <v>8091778.6830000002</v>
      </c>
      <c r="P65" s="140">
        <v>0</v>
      </c>
      <c r="Q65" s="140">
        <v>0</v>
      </c>
      <c r="R65" s="140">
        <v>0</v>
      </c>
      <c r="S65" s="144">
        <f t="shared" si="2"/>
        <v>0</v>
      </c>
      <c r="T65" s="146">
        <f t="shared" si="3"/>
        <v>8091778.6830000002</v>
      </c>
      <c r="U65" s="7">
        <v>3927807</v>
      </c>
      <c r="V65" s="7">
        <v>4280046</v>
      </c>
      <c r="W65" s="7">
        <v>360000</v>
      </c>
      <c r="X65" s="74">
        <f>SUM(U65:W65)</f>
        <v>8567853</v>
      </c>
      <c r="Y65" s="7">
        <v>0</v>
      </c>
      <c r="Z65" s="7">
        <v>0</v>
      </c>
      <c r="AA65" s="7">
        <v>0</v>
      </c>
      <c r="AB65" s="74">
        <f>SUM(Y65:AA65)</f>
        <v>0</v>
      </c>
      <c r="AC65" s="80">
        <f t="shared" si="63"/>
        <v>8567853</v>
      </c>
      <c r="AD65" s="33">
        <v>4311584</v>
      </c>
      <c r="AE65" s="33">
        <v>4531201</v>
      </c>
      <c r="AF65" s="33">
        <v>360000</v>
      </c>
      <c r="AG65" s="74">
        <f>SUM(AD65:AF65)</f>
        <v>9202785</v>
      </c>
      <c r="AH65" s="7">
        <v>0</v>
      </c>
      <c r="AI65" s="7">
        <v>0</v>
      </c>
      <c r="AJ65" s="7">
        <v>0</v>
      </c>
      <c r="AK65" s="74">
        <f>SUM(AH65:AJ65)</f>
        <v>0</v>
      </c>
      <c r="AL65" s="80">
        <f t="shared" si="45"/>
        <v>9202785</v>
      </c>
      <c r="AM65" s="7">
        <v>4211907</v>
      </c>
      <c r="AN65" s="7">
        <v>4314332</v>
      </c>
      <c r="AO65" s="7">
        <v>360000</v>
      </c>
      <c r="AP65" s="74">
        <f>SUM(AM65:AO65)</f>
        <v>8886239</v>
      </c>
      <c r="AQ65" s="7">
        <v>0</v>
      </c>
      <c r="AR65" s="7">
        <v>0</v>
      </c>
      <c r="AS65" s="7">
        <v>0</v>
      </c>
      <c r="AT65" s="74">
        <f>SUM(AQ65:AS65)</f>
        <v>0</v>
      </c>
      <c r="AU65" s="80">
        <f t="shared" si="46"/>
        <v>8886239</v>
      </c>
      <c r="AV65" s="17">
        <v>4540088</v>
      </c>
      <c r="AW65" s="17">
        <v>4314332</v>
      </c>
      <c r="AX65" s="17">
        <v>360000</v>
      </c>
      <c r="AY65" s="98">
        <f t="shared" si="15"/>
        <v>9214420</v>
      </c>
      <c r="AZ65" s="7">
        <v>0</v>
      </c>
      <c r="BA65" s="7">
        <v>0</v>
      </c>
      <c r="BB65" s="7">
        <v>0</v>
      </c>
      <c r="BC65" s="98">
        <f t="shared" si="6"/>
        <v>0</v>
      </c>
      <c r="BD65" s="80">
        <f t="shared" si="7"/>
        <v>9214420</v>
      </c>
    </row>
    <row r="66" spans="1:56" ht="16.5" x14ac:dyDescent="0.25">
      <c r="A66" s="91">
        <v>102</v>
      </c>
      <c r="B66" s="129" t="s">
        <v>237</v>
      </c>
      <c r="C66" s="30">
        <v>0</v>
      </c>
      <c r="D66" s="30">
        <v>0</v>
      </c>
      <c r="E66" s="30">
        <v>0</v>
      </c>
      <c r="F66" s="156">
        <v>0</v>
      </c>
      <c r="G66" s="30">
        <v>0</v>
      </c>
      <c r="H66" s="30">
        <v>0</v>
      </c>
      <c r="I66" s="30">
        <v>0</v>
      </c>
      <c r="J66" s="144">
        <f>SUM(G66:I66)</f>
        <v>0</v>
      </c>
      <c r="K66" s="146">
        <f>'[1]Classification prog-économi (2'!$Y$113</f>
        <v>1554280</v>
      </c>
      <c r="L66" s="36">
        <v>0</v>
      </c>
      <c r="M66" s="36">
        <v>0</v>
      </c>
      <c r="N66" s="36">
        <v>0</v>
      </c>
      <c r="O66" s="145">
        <f t="shared" si="1"/>
        <v>0</v>
      </c>
      <c r="P66" s="36">
        <v>0</v>
      </c>
      <c r="Q66" s="36">
        <v>0</v>
      </c>
      <c r="R66" s="36">
        <v>0</v>
      </c>
      <c r="S66" s="144">
        <f t="shared" si="2"/>
        <v>0</v>
      </c>
      <c r="T66" s="146">
        <v>4142300</v>
      </c>
      <c r="U66" s="17"/>
      <c r="V66" s="17"/>
      <c r="W66" s="17"/>
      <c r="X66" s="75"/>
      <c r="Y66" s="17"/>
      <c r="Z66" s="17">
        <v>0</v>
      </c>
      <c r="AA66" s="17"/>
      <c r="AB66" s="75">
        <f>SUM(Y66:AA66)</f>
        <v>0</v>
      </c>
      <c r="AC66" s="80">
        <f t="shared" si="63"/>
        <v>0</v>
      </c>
      <c r="AD66" s="17"/>
      <c r="AE66" s="17"/>
      <c r="AF66" s="17"/>
      <c r="AG66" s="75"/>
      <c r="AH66" s="17"/>
      <c r="AI66" s="17">
        <v>0</v>
      </c>
      <c r="AJ66" s="17"/>
      <c r="AK66" s="75">
        <f>SUM(AH66:AJ66)</f>
        <v>0</v>
      </c>
      <c r="AL66" s="80">
        <f t="shared" si="45"/>
        <v>0</v>
      </c>
      <c r="AM66" s="7">
        <v>0</v>
      </c>
      <c r="AN66" s="7">
        <v>0</v>
      </c>
      <c r="AO66" s="7">
        <v>0</v>
      </c>
      <c r="AP66" s="75">
        <f>SUM(AM66:AO66)</f>
        <v>0</v>
      </c>
      <c r="AQ66" s="17"/>
      <c r="AR66" s="17">
        <v>0</v>
      </c>
      <c r="AS66" s="17"/>
      <c r="AT66" s="75"/>
      <c r="AU66" s="80">
        <f t="shared" si="46"/>
        <v>0</v>
      </c>
      <c r="AV66" s="17">
        <v>0</v>
      </c>
      <c r="AW66" s="17">
        <v>0</v>
      </c>
      <c r="AX66" s="17">
        <v>0</v>
      </c>
      <c r="AY66" s="98">
        <f t="shared" si="15"/>
        <v>0</v>
      </c>
      <c r="AZ66" s="17">
        <v>0</v>
      </c>
      <c r="BA66" s="17">
        <v>0</v>
      </c>
      <c r="BB66" s="17">
        <v>0</v>
      </c>
      <c r="BC66" s="98">
        <f t="shared" si="6"/>
        <v>0</v>
      </c>
      <c r="BD66" s="80">
        <f t="shared" si="7"/>
        <v>0</v>
      </c>
    </row>
    <row r="67" spans="1:56" ht="17.25" thickBot="1" x14ac:dyDescent="0.3">
      <c r="A67" s="171" t="s">
        <v>182</v>
      </c>
      <c r="B67" s="172"/>
      <c r="C67" s="141">
        <f>C68+C69+C70+C71+C72</f>
        <v>923400</v>
      </c>
      <c r="D67" s="141">
        <f>D68+D69+D70+D71+D72</f>
        <v>990800</v>
      </c>
      <c r="E67" s="142">
        <f>E68+E69+E70+E71+E72</f>
        <v>4169300.0000000005</v>
      </c>
      <c r="F67" s="143">
        <f>C67+D67+E67</f>
        <v>6083500</v>
      </c>
      <c r="G67" s="142">
        <f>G68+G69+G70+G71+G72</f>
        <v>2283759.1179999998</v>
      </c>
      <c r="H67" s="142">
        <f>H68+H69+H70+H71+H72</f>
        <v>1872166.85966908</v>
      </c>
      <c r="I67" s="143">
        <f>I68+I69+I70+I71+I72</f>
        <v>6125977</v>
      </c>
      <c r="J67" s="143">
        <f t="shared" ref="J67:J72" si="64">G67+H67</f>
        <v>4155925.9776690798</v>
      </c>
      <c r="K67" s="146">
        <f t="shared" si="43"/>
        <v>10239425.977669079</v>
      </c>
      <c r="L67" s="141">
        <f>L68+L69+L70+L71+L72+L73</f>
        <v>929761.83900000004</v>
      </c>
      <c r="M67" s="141">
        <f>M68+M69+M70+M71+M72+M73</f>
        <v>724043.85</v>
      </c>
      <c r="N67" s="141">
        <f>N68+N69+N70+N71+N72+N73</f>
        <v>6010092.4050000003</v>
      </c>
      <c r="O67" s="143">
        <f t="shared" si="1"/>
        <v>7663898.0940000005</v>
      </c>
      <c r="P67" s="141">
        <f>P68+P69+P70+P71+P72+P73</f>
        <v>14290664.997</v>
      </c>
      <c r="Q67" s="141">
        <f>Q68+Q69+Q70+Q71+Q72+Q73</f>
        <v>0</v>
      </c>
      <c r="R67" s="141">
        <f>R68+R69+R70+R71+R72+R73</f>
        <v>10889427.748</v>
      </c>
      <c r="S67" s="157">
        <f t="shared" si="2"/>
        <v>25180092.744999997</v>
      </c>
      <c r="T67" s="146">
        <f>T68+T71+T73</f>
        <v>32843990.838999998</v>
      </c>
      <c r="U67" s="5">
        <f>U68+U69+U70+U71+U73</f>
        <v>1051157</v>
      </c>
      <c r="V67" s="5">
        <f>V68+V69+V70+V71+V73</f>
        <v>1848894</v>
      </c>
      <c r="W67" s="5">
        <f>W68+W69+W70+W71+W73</f>
        <v>6182472</v>
      </c>
      <c r="X67" s="73">
        <f t="shared" ref="X67:X71" si="65">U67+V67+W67</f>
        <v>9082523</v>
      </c>
      <c r="Y67" s="5">
        <f>Y68+Y69+Y70+Y71+Y73</f>
        <v>9229007</v>
      </c>
      <c r="Z67" s="5">
        <f>Z68+Z69+Z70+Z71+Z73</f>
        <v>2388571</v>
      </c>
      <c r="AA67" s="5">
        <f>AA68+AA69+AA70+AA71+AA73</f>
        <v>3656448</v>
      </c>
      <c r="AB67" s="73">
        <f>AB68+AB69+AB70+AB71+AB73</f>
        <v>15274026</v>
      </c>
      <c r="AC67" s="80">
        <f t="shared" si="63"/>
        <v>24356549</v>
      </c>
      <c r="AD67" s="5">
        <f>AD68+AD69+AD70+AD71+AD73</f>
        <v>1108517</v>
      </c>
      <c r="AE67" s="5">
        <f>AE68+AE69+AE70+AE71+AE73</f>
        <v>1841616</v>
      </c>
      <c r="AF67" s="5">
        <f>AF68+AF69+AF70+AF71+AF73</f>
        <v>6189750</v>
      </c>
      <c r="AG67" s="73">
        <f t="shared" ref="AG67:AG71" si="66">AD67+AE67+AF67</f>
        <v>9139883</v>
      </c>
      <c r="AH67" s="5">
        <f>AH68+AH69+AH70+AH71+AH73</f>
        <v>9852083</v>
      </c>
      <c r="AI67" s="5">
        <f>AI68+AI69+AI70+AI71+AI73</f>
        <v>0</v>
      </c>
      <c r="AJ67" s="5">
        <f>AJ68+AJ69+AJ70+AJ71+AJ73</f>
        <v>10042000</v>
      </c>
      <c r="AK67" s="73">
        <f>AK68+AK69+AK70+AK71+AK73</f>
        <v>19894083</v>
      </c>
      <c r="AL67" s="80">
        <f>AG67+AK67</f>
        <v>29033966</v>
      </c>
      <c r="AM67" s="5">
        <f t="shared" ref="AM67:AT67" si="67">AM68+AM69+AM70+AM71+AM73</f>
        <v>1164243</v>
      </c>
      <c r="AN67" s="5">
        <f t="shared" si="67"/>
        <v>1848894</v>
      </c>
      <c r="AO67" s="5">
        <f t="shared" si="67"/>
        <v>6182472</v>
      </c>
      <c r="AP67" s="73">
        <f t="shared" si="67"/>
        <v>9195609</v>
      </c>
      <c r="AQ67" s="5">
        <f t="shared" si="67"/>
        <v>10793263</v>
      </c>
      <c r="AR67" s="5">
        <f t="shared" si="67"/>
        <v>0</v>
      </c>
      <c r="AS67" s="5">
        <f t="shared" si="67"/>
        <v>3000000</v>
      </c>
      <c r="AT67" s="73">
        <f t="shared" si="67"/>
        <v>13793263</v>
      </c>
      <c r="AU67" s="80">
        <f t="shared" si="46"/>
        <v>22988872</v>
      </c>
      <c r="AV67" s="5">
        <f>AV68+AV69+AV70+AV71+AV73</f>
        <v>1223157</v>
      </c>
      <c r="AW67" s="5">
        <f>AW68+AW69+AW70+AW71+AW73</f>
        <v>1848894</v>
      </c>
      <c r="AX67" s="5">
        <f>AX68+AX69+AX70+AX71+AX73</f>
        <v>6182472</v>
      </c>
      <c r="AY67" s="73">
        <f t="shared" si="15"/>
        <v>9254523</v>
      </c>
      <c r="AZ67" s="5">
        <f>AZ68+AZ69+AZ70+AZ71+AZ73</f>
        <v>12493263</v>
      </c>
      <c r="BA67" s="5">
        <f>BA68+BA69+BA70+BA71+BA73</f>
        <v>0</v>
      </c>
      <c r="BB67" s="5">
        <f>BB68+BB69+BB70+BB71+BB73</f>
        <v>2000000</v>
      </c>
      <c r="BC67" s="73">
        <f t="shared" si="6"/>
        <v>14493263</v>
      </c>
      <c r="BD67" s="80">
        <f t="shared" si="7"/>
        <v>23747786</v>
      </c>
    </row>
    <row r="68" spans="1:56" ht="17.25" thickBot="1" x14ac:dyDescent="0.3">
      <c r="A68" s="88">
        <v>100</v>
      </c>
      <c r="B68" s="6" t="s">
        <v>187</v>
      </c>
      <c r="C68" s="28">
        <f>'[1]Classification prog-économi (2'!$D$104</f>
        <v>794200</v>
      </c>
      <c r="D68" s="28">
        <f>'[1]Classification prog-économi (2'!$G$104</f>
        <v>990800</v>
      </c>
      <c r="E68" s="99">
        <v>0</v>
      </c>
      <c r="F68" s="144">
        <f>SUM(C68:E68)</f>
        <v>1785000</v>
      </c>
      <c r="G68" s="99">
        <f>'[1]Classification prog-économi (2'!$P$104</f>
        <v>0</v>
      </c>
      <c r="H68" s="167">
        <v>0</v>
      </c>
      <c r="I68" s="168">
        <v>0</v>
      </c>
      <c r="J68" s="144">
        <f t="shared" si="64"/>
        <v>0</v>
      </c>
      <c r="K68" s="146">
        <f t="shared" si="43"/>
        <v>1785000</v>
      </c>
      <c r="L68" s="140">
        <v>761260.90899999999</v>
      </c>
      <c r="M68" s="140">
        <v>724043.85</v>
      </c>
      <c r="N68" s="140">
        <v>153968.78100000002</v>
      </c>
      <c r="O68" s="145">
        <f t="shared" si="1"/>
        <v>1639273.54</v>
      </c>
      <c r="P68" s="30">
        <v>0</v>
      </c>
      <c r="Q68" s="30">
        <v>0</v>
      </c>
      <c r="R68" s="30">
        <v>0</v>
      </c>
      <c r="S68" s="144">
        <f t="shared" si="2"/>
        <v>0</v>
      </c>
      <c r="T68" s="146">
        <f t="shared" si="3"/>
        <v>1639273.54</v>
      </c>
      <c r="U68" s="7">
        <v>911530</v>
      </c>
      <c r="V68" s="7">
        <v>1421181</v>
      </c>
      <c r="W68" s="7">
        <v>162939</v>
      </c>
      <c r="X68" s="73">
        <f t="shared" si="65"/>
        <v>2495650</v>
      </c>
      <c r="Y68" s="7">
        <v>0</v>
      </c>
      <c r="Z68" s="7">
        <v>0</v>
      </c>
      <c r="AA68" s="7">
        <v>0</v>
      </c>
      <c r="AB68" s="74">
        <f>AA68+Y68</f>
        <v>0</v>
      </c>
      <c r="AC68" s="80">
        <f t="shared" si="63"/>
        <v>2495650</v>
      </c>
      <c r="AD68" s="31">
        <v>971107</v>
      </c>
      <c r="AE68" s="32">
        <v>1267393</v>
      </c>
      <c r="AF68" s="31">
        <v>163217</v>
      </c>
      <c r="AG68" s="73">
        <f t="shared" si="66"/>
        <v>2401717</v>
      </c>
      <c r="AH68" s="7">
        <v>0</v>
      </c>
      <c r="AI68" s="7">
        <v>0</v>
      </c>
      <c r="AJ68" s="7">
        <v>0</v>
      </c>
      <c r="AK68" s="74">
        <f>AJ68+AH68</f>
        <v>0</v>
      </c>
      <c r="AL68" s="80">
        <f t="shared" si="45"/>
        <v>2401717</v>
      </c>
      <c r="AM68" s="7">
        <v>1018813</v>
      </c>
      <c r="AN68" s="7">
        <v>1272402</v>
      </c>
      <c r="AO68" s="7">
        <v>163025</v>
      </c>
      <c r="AP68" s="74">
        <f>AM68+AN68+AO68</f>
        <v>2454240</v>
      </c>
      <c r="AQ68" s="7">
        <v>0</v>
      </c>
      <c r="AR68" s="7">
        <v>0</v>
      </c>
      <c r="AS68" s="7">
        <v>0</v>
      </c>
      <c r="AT68" s="74">
        <f>AQ68+AR68+AS68</f>
        <v>0</v>
      </c>
      <c r="AU68" s="80">
        <f t="shared" si="46"/>
        <v>2454240</v>
      </c>
      <c r="AV68" s="17">
        <v>1069249</v>
      </c>
      <c r="AW68" s="17">
        <v>1272402</v>
      </c>
      <c r="AX68" s="17">
        <v>163025</v>
      </c>
      <c r="AY68" s="98">
        <f t="shared" si="15"/>
        <v>2504676</v>
      </c>
      <c r="AZ68" s="17">
        <v>0</v>
      </c>
      <c r="BA68" s="17">
        <v>0</v>
      </c>
      <c r="BB68" s="17">
        <v>0</v>
      </c>
      <c r="BC68" s="98">
        <f t="shared" si="6"/>
        <v>0</v>
      </c>
      <c r="BD68" s="80">
        <f t="shared" si="7"/>
        <v>2504676</v>
      </c>
    </row>
    <row r="69" spans="1:56" ht="16.5" x14ac:dyDescent="0.25">
      <c r="A69" s="88" t="s">
        <v>98</v>
      </c>
      <c r="B69" s="6" t="s">
        <v>190</v>
      </c>
      <c r="C69" s="30">
        <f>'[1]Classification prog-économi (2'!$D$106</f>
        <v>0</v>
      </c>
      <c r="D69" s="30">
        <v>0</v>
      </c>
      <c r="E69" s="102">
        <v>0</v>
      </c>
      <c r="F69" s="144">
        <f>SUM(C69:E69)</f>
        <v>0</v>
      </c>
      <c r="G69" s="102">
        <f>'[1]Classification prog-économi (2'!$P$106</f>
        <v>297000</v>
      </c>
      <c r="H69" s="167">
        <v>0</v>
      </c>
      <c r="I69" s="168">
        <v>0</v>
      </c>
      <c r="J69" s="144">
        <f t="shared" si="64"/>
        <v>297000</v>
      </c>
      <c r="K69" s="146">
        <f t="shared" si="43"/>
        <v>297000</v>
      </c>
      <c r="L69" s="63">
        <v>0</v>
      </c>
      <c r="M69" s="63">
        <v>0</v>
      </c>
      <c r="N69" s="63">
        <v>0</v>
      </c>
      <c r="O69" s="145">
        <f t="shared" ref="O69:O121" si="68">L69+M69+N69</f>
        <v>0</v>
      </c>
      <c r="P69" s="63">
        <v>0</v>
      </c>
      <c r="Q69" s="63">
        <v>0</v>
      </c>
      <c r="R69" s="63">
        <v>0</v>
      </c>
      <c r="S69" s="144">
        <f t="shared" ref="S69:S121" si="69">P69+Q69+R69</f>
        <v>0</v>
      </c>
      <c r="T69" s="146">
        <f t="shared" ref="T69:T122" si="70">O69+S69</f>
        <v>0</v>
      </c>
      <c r="U69" s="7">
        <v>0</v>
      </c>
      <c r="V69" s="7">
        <v>0</v>
      </c>
      <c r="W69" s="7">
        <v>0</v>
      </c>
      <c r="X69" s="73">
        <f t="shared" si="65"/>
        <v>0</v>
      </c>
      <c r="Y69" s="7">
        <v>0</v>
      </c>
      <c r="Z69" s="30">
        <v>0</v>
      </c>
      <c r="AA69" s="30">
        <v>0</v>
      </c>
      <c r="AB69" s="74">
        <f>AA69+Y69</f>
        <v>0</v>
      </c>
      <c r="AC69" s="80">
        <f t="shared" si="63"/>
        <v>0</v>
      </c>
      <c r="AD69" s="7">
        <v>0</v>
      </c>
      <c r="AE69" s="7">
        <v>0</v>
      </c>
      <c r="AF69" s="7">
        <v>0</v>
      </c>
      <c r="AG69" s="73">
        <f t="shared" si="66"/>
        <v>0</v>
      </c>
      <c r="AH69" s="7">
        <v>0</v>
      </c>
      <c r="AI69" s="30">
        <v>0</v>
      </c>
      <c r="AJ69" s="30">
        <v>0</v>
      </c>
      <c r="AK69" s="74">
        <f>AJ69+AH69</f>
        <v>0</v>
      </c>
      <c r="AL69" s="80">
        <f t="shared" si="45"/>
        <v>0</v>
      </c>
      <c r="AM69" s="7">
        <v>0</v>
      </c>
      <c r="AN69" s="7">
        <v>0</v>
      </c>
      <c r="AO69" s="7">
        <v>0</v>
      </c>
      <c r="AP69" s="74">
        <f>AM69+AN69+AO69</f>
        <v>0</v>
      </c>
      <c r="AQ69" s="7">
        <v>0</v>
      </c>
      <c r="AR69" s="30">
        <v>0</v>
      </c>
      <c r="AS69" s="30">
        <v>0</v>
      </c>
      <c r="AT69" s="74">
        <f>AQ69+AR69+AS69</f>
        <v>0</v>
      </c>
      <c r="AU69" s="80">
        <f t="shared" si="46"/>
        <v>0</v>
      </c>
      <c r="AV69" s="17">
        <v>0</v>
      </c>
      <c r="AW69" s="17">
        <v>0</v>
      </c>
      <c r="AX69" s="17">
        <v>0</v>
      </c>
      <c r="AY69" s="98">
        <f t="shared" si="15"/>
        <v>0</v>
      </c>
      <c r="AZ69" s="17">
        <v>0</v>
      </c>
      <c r="BA69" s="17">
        <v>0</v>
      </c>
      <c r="BB69" s="17">
        <v>0</v>
      </c>
      <c r="BC69" s="98">
        <f t="shared" ref="BC69:BC121" si="71">AZ69+BA69+BB69</f>
        <v>0</v>
      </c>
      <c r="BD69" s="80">
        <f t="shared" ref="BD69:BD121" si="72">AY69+BC69</f>
        <v>0</v>
      </c>
    </row>
    <row r="70" spans="1:56" ht="17.25" thickBot="1" x14ac:dyDescent="0.3">
      <c r="A70" s="92">
        <v>104</v>
      </c>
      <c r="B70" s="16" t="s">
        <v>191</v>
      </c>
      <c r="C70" s="30">
        <f>'[1]Classification prog-économi (2'!$D$105</f>
        <v>12600</v>
      </c>
      <c r="D70" s="30">
        <v>0</v>
      </c>
      <c r="E70" s="102">
        <v>0</v>
      </c>
      <c r="F70" s="147">
        <f>SUM(C70:E70)</f>
        <v>12600</v>
      </c>
      <c r="G70" s="102">
        <f>'[1]Classification prog-économi (2'!$P$105</f>
        <v>1154880</v>
      </c>
      <c r="H70" s="167">
        <f>'[1]Classification prog-économi (2'!$S$105</f>
        <v>1872166.85966908</v>
      </c>
      <c r="I70" s="168">
        <v>0</v>
      </c>
      <c r="J70" s="147">
        <f t="shared" si="64"/>
        <v>3027046.85966908</v>
      </c>
      <c r="K70" s="146">
        <f t="shared" si="43"/>
        <v>3039646.85966908</v>
      </c>
      <c r="L70" s="30">
        <v>0</v>
      </c>
      <c r="M70" s="30">
        <v>0</v>
      </c>
      <c r="N70" s="30">
        <v>0</v>
      </c>
      <c r="O70" s="145">
        <f t="shared" si="68"/>
        <v>0</v>
      </c>
      <c r="P70" s="30">
        <v>0</v>
      </c>
      <c r="Q70" s="30">
        <v>0</v>
      </c>
      <c r="R70" s="30">
        <v>0</v>
      </c>
      <c r="S70" s="144">
        <f t="shared" si="69"/>
        <v>0</v>
      </c>
      <c r="T70" s="146">
        <f t="shared" si="70"/>
        <v>0</v>
      </c>
      <c r="U70" s="7">
        <v>0</v>
      </c>
      <c r="V70" s="7">
        <v>0</v>
      </c>
      <c r="W70" s="7">
        <v>0</v>
      </c>
      <c r="X70" s="73">
        <f t="shared" si="65"/>
        <v>0</v>
      </c>
      <c r="Y70" s="30">
        <v>0</v>
      </c>
      <c r="Z70" s="30">
        <v>0</v>
      </c>
      <c r="AA70" s="30">
        <v>0</v>
      </c>
      <c r="AB70" s="76">
        <f>AA70+Y70</f>
        <v>0</v>
      </c>
      <c r="AC70" s="80">
        <f t="shared" si="63"/>
        <v>0</v>
      </c>
      <c r="AD70" s="7">
        <v>0</v>
      </c>
      <c r="AE70" s="7">
        <v>0</v>
      </c>
      <c r="AF70" s="7">
        <v>0</v>
      </c>
      <c r="AG70" s="73">
        <f t="shared" si="66"/>
        <v>0</v>
      </c>
      <c r="AH70" s="30">
        <v>0</v>
      </c>
      <c r="AI70" s="30">
        <v>0</v>
      </c>
      <c r="AJ70" s="30">
        <v>0</v>
      </c>
      <c r="AK70" s="76">
        <f>AJ70+AH70</f>
        <v>0</v>
      </c>
      <c r="AL70" s="80">
        <f t="shared" si="45"/>
        <v>0</v>
      </c>
      <c r="AM70" s="7">
        <v>0</v>
      </c>
      <c r="AN70" s="7">
        <v>0</v>
      </c>
      <c r="AO70" s="7">
        <v>0</v>
      </c>
      <c r="AP70" s="76">
        <f>AM70+AN70+AO70</f>
        <v>0</v>
      </c>
      <c r="AQ70" s="30">
        <v>0</v>
      </c>
      <c r="AR70" s="30">
        <v>0</v>
      </c>
      <c r="AS70" s="30">
        <v>0</v>
      </c>
      <c r="AT70" s="76">
        <f>AQ70+AR70+AS70</f>
        <v>0</v>
      </c>
      <c r="AU70" s="80">
        <f t="shared" si="46"/>
        <v>0</v>
      </c>
      <c r="AV70" s="17">
        <v>0</v>
      </c>
      <c r="AW70" s="17">
        <v>0</v>
      </c>
      <c r="AX70" s="17">
        <v>0</v>
      </c>
      <c r="AY70" s="98">
        <f t="shared" si="15"/>
        <v>0</v>
      </c>
      <c r="AZ70" s="17">
        <v>0</v>
      </c>
      <c r="BA70" s="17">
        <v>0</v>
      </c>
      <c r="BB70" s="17">
        <v>0</v>
      </c>
      <c r="BC70" s="98">
        <f t="shared" si="71"/>
        <v>0</v>
      </c>
      <c r="BD70" s="80">
        <f t="shared" si="72"/>
        <v>0</v>
      </c>
    </row>
    <row r="71" spans="1:56" ht="17.25" thickBot="1" x14ac:dyDescent="0.3">
      <c r="A71" s="92">
        <v>109</v>
      </c>
      <c r="B71" s="16" t="s">
        <v>195</v>
      </c>
      <c r="C71" s="35">
        <f>'[1]Classification prog-économi (2'!$D$108</f>
        <v>70700</v>
      </c>
      <c r="D71" s="35">
        <v>0</v>
      </c>
      <c r="E71" s="103">
        <f>'[1]Classification prog-économi (2'!$J$108</f>
        <v>4151600.0000000005</v>
      </c>
      <c r="F71" s="147">
        <f>SUM(C71:E71)</f>
        <v>4222300</v>
      </c>
      <c r="G71" s="103">
        <f>'[1]Classification prog-économi (2'!$P$108</f>
        <v>82600</v>
      </c>
      <c r="H71" s="167">
        <v>0</v>
      </c>
      <c r="I71" s="168">
        <v>3295330</v>
      </c>
      <c r="J71" s="147">
        <f t="shared" si="64"/>
        <v>82600</v>
      </c>
      <c r="K71" s="146">
        <f t="shared" si="43"/>
        <v>4304900</v>
      </c>
      <c r="L71" s="140">
        <v>79728.069000000003</v>
      </c>
      <c r="M71" s="30">
        <v>0</v>
      </c>
      <c r="N71" s="140">
        <v>5856123.6239999998</v>
      </c>
      <c r="O71" s="145">
        <f t="shared" si="68"/>
        <v>5935851.693</v>
      </c>
      <c r="P71" s="140">
        <v>10769193.237</v>
      </c>
      <c r="Q71" s="35">
        <v>0</v>
      </c>
      <c r="R71" s="35">
        <v>0</v>
      </c>
      <c r="S71" s="144">
        <f t="shared" si="69"/>
        <v>10769193.237</v>
      </c>
      <c r="T71" s="146">
        <f t="shared" si="70"/>
        <v>16705044.93</v>
      </c>
      <c r="U71" s="7">
        <v>60949</v>
      </c>
      <c r="V71" s="7">
        <v>380713</v>
      </c>
      <c r="W71" s="7">
        <v>6019533</v>
      </c>
      <c r="X71" s="73">
        <f t="shared" si="65"/>
        <v>6461195</v>
      </c>
      <c r="Y71" s="7">
        <v>2698282</v>
      </c>
      <c r="Z71" s="35">
        <v>0</v>
      </c>
      <c r="AA71" s="35">
        <v>0</v>
      </c>
      <c r="AB71" s="76">
        <f>AA71+Y71</f>
        <v>2698282</v>
      </c>
      <c r="AC71" s="80">
        <f t="shared" si="63"/>
        <v>9159477</v>
      </c>
      <c r="AD71" s="32">
        <v>55765</v>
      </c>
      <c r="AE71" s="32">
        <v>505223</v>
      </c>
      <c r="AF71" s="32">
        <v>6026533</v>
      </c>
      <c r="AG71" s="73">
        <f t="shared" si="66"/>
        <v>6587521</v>
      </c>
      <c r="AH71" s="32">
        <v>3615870</v>
      </c>
      <c r="AI71" s="35">
        <v>0</v>
      </c>
      <c r="AJ71" s="35">
        <v>0</v>
      </c>
      <c r="AK71" s="76">
        <f>AJ71+AH71</f>
        <v>3615870</v>
      </c>
      <c r="AL71" s="80">
        <f t="shared" si="45"/>
        <v>10203391</v>
      </c>
      <c r="AM71" s="7">
        <v>59289</v>
      </c>
      <c r="AN71" s="7">
        <v>507219</v>
      </c>
      <c r="AO71" s="7">
        <v>6019447</v>
      </c>
      <c r="AP71" s="76">
        <f>AM71+AN71+AO71</f>
        <v>6585955</v>
      </c>
      <c r="AQ71" s="19">
        <v>5814263</v>
      </c>
      <c r="AR71" s="35">
        <v>0</v>
      </c>
      <c r="AS71" s="35">
        <v>0</v>
      </c>
      <c r="AT71" s="76">
        <f>AQ71+AR71+AS71</f>
        <v>5814263</v>
      </c>
      <c r="AU71" s="80">
        <f t="shared" si="46"/>
        <v>12400218</v>
      </c>
      <c r="AV71" s="17">
        <v>63014</v>
      </c>
      <c r="AW71" s="17">
        <v>507219</v>
      </c>
      <c r="AX71" s="17">
        <v>6019447</v>
      </c>
      <c r="AY71" s="98">
        <f t="shared" si="15"/>
        <v>6589680</v>
      </c>
      <c r="AZ71" s="17">
        <v>5514263</v>
      </c>
      <c r="BA71" s="17">
        <v>0</v>
      </c>
      <c r="BB71" s="17">
        <v>0</v>
      </c>
      <c r="BC71" s="98">
        <f t="shared" si="71"/>
        <v>5514263</v>
      </c>
      <c r="BD71" s="80">
        <f t="shared" si="72"/>
        <v>12103943</v>
      </c>
    </row>
    <row r="72" spans="1:56" ht="17.25" thickBot="1" x14ac:dyDescent="0.3">
      <c r="A72" s="92">
        <v>106</v>
      </c>
      <c r="B72" s="16" t="s">
        <v>192</v>
      </c>
      <c r="C72" s="30">
        <f>'[1]Classification prog-économi (2'!$D$107</f>
        <v>45900</v>
      </c>
      <c r="D72" s="30">
        <v>0</v>
      </c>
      <c r="E72" s="102">
        <f>'[1]Classification prog-économi (2'!$J$107</f>
        <v>17700</v>
      </c>
      <c r="F72" s="147">
        <f>SUM(C72:E72)</f>
        <v>63600</v>
      </c>
      <c r="G72" s="102">
        <f>'[1]Classification prog-économi (2'!$P$107</f>
        <v>749279.1179999999</v>
      </c>
      <c r="H72" s="167">
        <v>0</v>
      </c>
      <c r="I72" s="168">
        <v>2830647</v>
      </c>
      <c r="J72" s="147">
        <f t="shared" si="64"/>
        <v>749279.1179999999</v>
      </c>
      <c r="K72" s="148">
        <f t="shared" si="43"/>
        <v>812879.1179999999</v>
      </c>
      <c r="L72" s="63">
        <v>0</v>
      </c>
      <c r="M72" s="63">
        <v>0</v>
      </c>
      <c r="N72" s="63">
        <v>0</v>
      </c>
      <c r="O72" s="145">
        <f t="shared" si="68"/>
        <v>0</v>
      </c>
      <c r="P72" s="63">
        <v>0</v>
      </c>
      <c r="Q72" s="63">
        <v>0</v>
      </c>
      <c r="R72" s="63">
        <v>0</v>
      </c>
      <c r="S72" s="144">
        <f t="shared" si="69"/>
        <v>0</v>
      </c>
      <c r="T72" s="146">
        <f t="shared" si="70"/>
        <v>0</v>
      </c>
      <c r="U72" s="60">
        <v>0</v>
      </c>
      <c r="V72" s="60">
        <v>0</v>
      </c>
      <c r="W72" s="60">
        <v>0</v>
      </c>
      <c r="X72" s="125">
        <v>0</v>
      </c>
      <c r="Y72" s="60">
        <v>0</v>
      </c>
      <c r="Z72" s="63">
        <v>0</v>
      </c>
      <c r="AA72" s="63">
        <v>0</v>
      </c>
      <c r="AB72" s="126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 s="63">
        <v>0</v>
      </c>
      <c r="AJ72" s="63">
        <v>0</v>
      </c>
      <c r="AK72" s="126">
        <v>0</v>
      </c>
      <c r="AL72">
        <v>0</v>
      </c>
      <c r="AM72" s="60">
        <v>0</v>
      </c>
      <c r="AN72" s="60">
        <v>0</v>
      </c>
      <c r="AO72" s="60">
        <v>0</v>
      </c>
      <c r="AP72" s="126">
        <v>0</v>
      </c>
      <c r="AQ72" s="60">
        <v>0</v>
      </c>
      <c r="AR72" s="63">
        <v>0</v>
      </c>
      <c r="AS72" s="63">
        <v>0</v>
      </c>
      <c r="AT72" s="126">
        <v>0</v>
      </c>
      <c r="AU72">
        <v>0</v>
      </c>
      <c r="AV72" s="60">
        <v>0</v>
      </c>
      <c r="AW72" s="60">
        <v>0</v>
      </c>
      <c r="AX72" s="60">
        <v>0</v>
      </c>
      <c r="AY72" s="127">
        <v>0</v>
      </c>
      <c r="AZ72" s="60">
        <v>0</v>
      </c>
      <c r="BA72" s="60">
        <v>0</v>
      </c>
      <c r="BB72" s="60">
        <v>0</v>
      </c>
      <c r="BC72" s="127">
        <v>0</v>
      </c>
      <c r="BD72" s="60">
        <v>0</v>
      </c>
    </row>
    <row r="73" spans="1:56" ht="17.25" thickBot="1" x14ac:dyDescent="0.3">
      <c r="A73" s="92">
        <v>111</v>
      </c>
      <c r="B73" s="16" t="s">
        <v>272</v>
      </c>
      <c r="C73" s="36"/>
      <c r="D73" s="36"/>
      <c r="E73" s="105"/>
      <c r="F73" s="147"/>
      <c r="G73" s="105"/>
      <c r="H73" s="167"/>
      <c r="I73" s="168"/>
      <c r="J73" s="147"/>
      <c r="K73" s="148"/>
      <c r="L73" s="140">
        <v>88772.861000000004</v>
      </c>
      <c r="M73" s="30">
        <v>0</v>
      </c>
      <c r="N73" s="30">
        <v>0</v>
      </c>
      <c r="O73" s="145">
        <f t="shared" si="68"/>
        <v>88772.861000000004</v>
      </c>
      <c r="P73" s="140">
        <v>3521471.76</v>
      </c>
      <c r="Q73" s="30">
        <v>0</v>
      </c>
      <c r="R73" s="140">
        <v>10889427.748</v>
      </c>
      <c r="S73" s="144">
        <f>P73+Q73+R73</f>
        <v>14410899.507999999</v>
      </c>
      <c r="T73" s="146">
        <f t="shared" si="70"/>
        <v>14499672.368999999</v>
      </c>
      <c r="U73" s="7">
        <v>78678</v>
      </c>
      <c r="V73" s="7">
        <v>47000</v>
      </c>
      <c r="W73" s="7">
        <v>0</v>
      </c>
      <c r="X73" s="73">
        <f>U73+V73+W73</f>
        <v>125678</v>
      </c>
      <c r="Y73" s="7">
        <v>6530725</v>
      </c>
      <c r="Z73" s="30">
        <v>2388571</v>
      </c>
      <c r="AA73" s="30">
        <v>3656448</v>
      </c>
      <c r="AB73" s="76">
        <f>Y73+Z73+AA73</f>
        <v>12575744</v>
      </c>
      <c r="AC73" s="81">
        <f>X73+AB73</f>
        <v>12701422</v>
      </c>
      <c r="AD73" s="32">
        <v>81645</v>
      </c>
      <c r="AE73" s="32">
        <v>69000</v>
      </c>
      <c r="AF73" s="32">
        <v>0</v>
      </c>
      <c r="AG73" s="73">
        <f>AD73+AE73+AF73</f>
        <v>150645</v>
      </c>
      <c r="AH73" s="32">
        <v>6236213</v>
      </c>
      <c r="AI73" s="30">
        <v>0</v>
      </c>
      <c r="AJ73" s="32">
        <v>10042000</v>
      </c>
      <c r="AK73" s="76">
        <f>AH73+AI73+AJ73</f>
        <v>16278213</v>
      </c>
      <c r="AL73" s="81">
        <f>AG73+AK73</f>
        <v>16428858</v>
      </c>
      <c r="AM73" s="7">
        <v>86141</v>
      </c>
      <c r="AN73" s="7">
        <v>69273</v>
      </c>
      <c r="AO73" s="7">
        <v>0</v>
      </c>
      <c r="AP73" s="76">
        <f>AM73+AN73+AO73</f>
        <v>155414</v>
      </c>
      <c r="AQ73" s="7">
        <f>1199380+3779620</f>
        <v>4979000</v>
      </c>
      <c r="AR73" s="30">
        <v>0</v>
      </c>
      <c r="AS73" s="19">
        <v>3000000</v>
      </c>
      <c r="AT73" s="76">
        <f>AQ73+AR73+AS73</f>
        <v>7979000</v>
      </c>
      <c r="AU73" s="81">
        <f>AP73+AT73</f>
        <v>8134414</v>
      </c>
      <c r="AV73" s="17">
        <v>90894</v>
      </c>
      <c r="AW73" s="17">
        <v>69273</v>
      </c>
      <c r="AX73" s="17">
        <v>0</v>
      </c>
      <c r="AY73" s="98">
        <f>AV73+AW73+AX73</f>
        <v>160167</v>
      </c>
      <c r="AZ73" s="17">
        <f>1479380+5499620</f>
        <v>6979000</v>
      </c>
      <c r="BA73" s="17">
        <v>0</v>
      </c>
      <c r="BB73" s="17">
        <v>2000000</v>
      </c>
      <c r="BC73" s="98">
        <f>AZ73+BA73+BB73</f>
        <v>8979000</v>
      </c>
      <c r="BD73" s="80">
        <f>AY73+BC73</f>
        <v>9139167</v>
      </c>
    </row>
    <row r="74" spans="1:56" ht="17.25" thickBot="1" x14ac:dyDescent="0.3">
      <c r="A74" s="171" t="s">
        <v>99</v>
      </c>
      <c r="B74" s="172"/>
      <c r="C74" s="141">
        <f>C75+C76+C77+C78+C79</f>
        <v>1071782.9790000001</v>
      </c>
      <c r="D74" s="141">
        <f>D75+D76+D77+D78+D79</f>
        <v>1728441.1700000002</v>
      </c>
      <c r="E74" s="142">
        <f>E75+E76+E77+E78+E79</f>
        <v>426798.81599999999</v>
      </c>
      <c r="F74" s="143">
        <f>C74+D74+E74</f>
        <v>3227022.9650000003</v>
      </c>
      <c r="G74" s="142">
        <f>G75+G76+G77+G78+G79</f>
        <v>156634834.77200001</v>
      </c>
      <c r="H74" s="142">
        <f>H75+H76+H77+H78+H79</f>
        <v>38066112.364794798</v>
      </c>
      <c r="I74" s="142">
        <f>I75+I76+I77+I78+I79</f>
        <v>38066112.364794798</v>
      </c>
      <c r="J74" s="143">
        <f>G74+H74</f>
        <v>194700947.13679481</v>
      </c>
      <c r="K74" s="146">
        <f t="shared" ref="K74:K91" si="73">F74+J74</f>
        <v>197927970.10179481</v>
      </c>
      <c r="L74" s="141">
        <f>L75+L76+L77+L78+L79</f>
        <v>1278193.01</v>
      </c>
      <c r="M74" s="141">
        <f>M75+M76+M77+M78+M79</f>
        <v>1464994.8590000002</v>
      </c>
      <c r="N74" s="141">
        <f>N75+N76+N77+N78+N79</f>
        <v>384818.27500000002</v>
      </c>
      <c r="O74" s="143">
        <f t="shared" si="68"/>
        <v>3128006.1439999999</v>
      </c>
      <c r="P74" s="141">
        <f>P75+P76+P77+P78+P79</f>
        <v>154565613.36000001</v>
      </c>
      <c r="Q74" s="141">
        <f>Q75+Q76+Q77+Q78+Q79</f>
        <v>88446.600999999995</v>
      </c>
      <c r="R74" s="141">
        <f>R75+R76+R77+R78+R79</f>
        <v>51822482.918000005</v>
      </c>
      <c r="S74" s="157">
        <f t="shared" si="69"/>
        <v>206476542.87900004</v>
      </c>
      <c r="T74" s="146">
        <f>T75+T76+T77+T78+T79</f>
        <v>209604549.02300003</v>
      </c>
      <c r="U74" s="5">
        <f t="shared" ref="U74:AC74" si="74">U75+U76+U77+U78+U79</f>
        <v>0</v>
      </c>
      <c r="V74" s="5">
        <f t="shared" si="74"/>
        <v>0</v>
      </c>
      <c r="W74" s="5">
        <f t="shared" si="74"/>
        <v>0</v>
      </c>
      <c r="X74" s="73">
        <f t="shared" si="74"/>
        <v>0</v>
      </c>
      <c r="Y74" s="5">
        <f t="shared" si="74"/>
        <v>0</v>
      </c>
      <c r="Z74" s="5">
        <f t="shared" si="74"/>
        <v>0</v>
      </c>
      <c r="AA74" s="5">
        <f t="shared" si="74"/>
        <v>0</v>
      </c>
      <c r="AB74" s="73">
        <f t="shared" si="74"/>
        <v>0</v>
      </c>
      <c r="AC74" s="80">
        <f t="shared" si="74"/>
        <v>0</v>
      </c>
      <c r="AD74" s="5">
        <f t="shared" ref="AD74:AU74" si="75">AD75+AD76+AD77+AD78+AD79</f>
        <v>0</v>
      </c>
      <c r="AE74" s="5">
        <f t="shared" si="75"/>
        <v>0</v>
      </c>
      <c r="AF74" s="5">
        <f t="shared" si="75"/>
        <v>0</v>
      </c>
      <c r="AG74" s="73">
        <f t="shared" si="75"/>
        <v>0</v>
      </c>
      <c r="AH74" s="5">
        <f t="shared" si="75"/>
        <v>0</v>
      </c>
      <c r="AI74" s="5">
        <f t="shared" si="75"/>
        <v>0</v>
      </c>
      <c r="AJ74" s="5">
        <f t="shared" si="75"/>
        <v>0</v>
      </c>
      <c r="AK74" s="73">
        <f t="shared" si="75"/>
        <v>0</v>
      </c>
      <c r="AL74" s="80">
        <f t="shared" si="75"/>
        <v>0</v>
      </c>
      <c r="AM74" s="5">
        <f t="shared" si="75"/>
        <v>0</v>
      </c>
      <c r="AN74" s="5">
        <f t="shared" si="75"/>
        <v>0</v>
      </c>
      <c r="AO74" s="5">
        <f t="shared" si="75"/>
        <v>0</v>
      </c>
      <c r="AP74" s="73">
        <f t="shared" si="75"/>
        <v>0</v>
      </c>
      <c r="AQ74" s="5">
        <f t="shared" si="75"/>
        <v>0</v>
      </c>
      <c r="AR74" s="5">
        <f t="shared" si="75"/>
        <v>0</v>
      </c>
      <c r="AS74" s="5">
        <f t="shared" si="75"/>
        <v>0</v>
      </c>
      <c r="AT74" s="73">
        <f t="shared" si="75"/>
        <v>0</v>
      </c>
      <c r="AU74" s="80">
        <f t="shared" si="75"/>
        <v>0</v>
      </c>
      <c r="AV74" s="5">
        <f>AV75+AV76+AV77+AV78+AV79</f>
        <v>0</v>
      </c>
      <c r="AW74" s="5">
        <f>AW75+AW76+AW77+AW78+AW79</f>
        <v>0</v>
      </c>
      <c r="AX74" s="5">
        <f>AX75+AX76+AX77+AX78+AX79</f>
        <v>0</v>
      </c>
      <c r="AY74" s="73">
        <f t="shared" ref="AY74:AY121" si="76">AV74+AW74+AX74</f>
        <v>0</v>
      </c>
      <c r="AZ74" s="5">
        <f>AZ75+AZ76+AZ77+AZ78+AZ79</f>
        <v>0</v>
      </c>
      <c r="BA74" s="5">
        <f>BA75+BA76+BA77+BA78+BA79</f>
        <v>0</v>
      </c>
      <c r="BB74" s="5">
        <f>BB75+BB76+BB77+BB78+BB79</f>
        <v>0</v>
      </c>
      <c r="BC74" s="73">
        <f t="shared" si="71"/>
        <v>0</v>
      </c>
      <c r="BD74" s="80">
        <f t="shared" si="72"/>
        <v>0</v>
      </c>
    </row>
    <row r="75" spans="1:56" ht="17.25" thickBot="1" x14ac:dyDescent="0.3">
      <c r="A75" s="88" t="s">
        <v>100</v>
      </c>
      <c r="B75" s="6" t="s">
        <v>101</v>
      </c>
      <c r="C75" s="35">
        <v>494877.17</v>
      </c>
      <c r="D75" s="35">
        <v>1269116.149</v>
      </c>
      <c r="E75" s="35">
        <v>112329.31600000001</v>
      </c>
      <c r="F75" s="144">
        <f>SUM(C75:E75)</f>
        <v>1876322.635</v>
      </c>
      <c r="G75" s="35">
        <v>0</v>
      </c>
      <c r="H75" s="35">
        <v>0</v>
      </c>
      <c r="I75" s="140">
        <v>0</v>
      </c>
      <c r="J75" s="144">
        <f>SUM(G75:I75)</f>
        <v>0</v>
      </c>
      <c r="K75" s="146">
        <f t="shared" si="73"/>
        <v>1876322.635</v>
      </c>
      <c r="L75" s="140">
        <v>575257.071</v>
      </c>
      <c r="M75" s="140">
        <v>1035382.116</v>
      </c>
      <c r="N75" s="140">
        <v>71067.040999999997</v>
      </c>
      <c r="O75" s="145">
        <f t="shared" si="68"/>
        <v>1681706.2279999999</v>
      </c>
      <c r="P75" s="140">
        <v>0</v>
      </c>
      <c r="Q75" s="209">
        <v>0</v>
      </c>
      <c r="R75" s="140">
        <v>0</v>
      </c>
      <c r="S75" s="144">
        <f t="shared" si="69"/>
        <v>0</v>
      </c>
      <c r="T75" s="146">
        <f t="shared" si="70"/>
        <v>1681706.2279999999</v>
      </c>
      <c r="U75" s="7">
        <v>0</v>
      </c>
      <c r="V75" s="7">
        <v>0</v>
      </c>
      <c r="W75" s="7">
        <v>0</v>
      </c>
      <c r="X75" s="74">
        <f>SUM(U75:W75)</f>
        <v>0</v>
      </c>
      <c r="Y75" s="7">
        <v>0</v>
      </c>
      <c r="Z75" s="7"/>
      <c r="AA75" s="7"/>
      <c r="AB75" s="74">
        <f>SUM(Y75:AA75)</f>
        <v>0</v>
      </c>
      <c r="AC75" s="80">
        <f t="shared" ref="AC75:AC83" si="77">X75+AB75</f>
        <v>0</v>
      </c>
      <c r="AD75" s="7">
        <v>0</v>
      </c>
      <c r="AE75" s="7">
        <v>0</v>
      </c>
      <c r="AF75" s="7">
        <v>0</v>
      </c>
      <c r="AG75" s="74">
        <f>SUM(AD75:AF75)</f>
        <v>0</v>
      </c>
      <c r="AH75" s="7">
        <v>0</v>
      </c>
      <c r="AI75" s="7"/>
      <c r="AJ75" s="7"/>
      <c r="AK75" s="74">
        <f>SUM(AH75:AJ75)</f>
        <v>0</v>
      </c>
      <c r="AL75" s="80">
        <f t="shared" ref="AL75:AL88" si="78">AG75+AK75</f>
        <v>0</v>
      </c>
      <c r="AM75" s="7">
        <v>0</v>
      </c>
      <c r="AN75" s="7">
        <v>0</v>
      </c>
      <c r="AO75" s="7">
        <v>0</v>
      </c>
      <c r="AP75" s="74">
        <f>SUM(AM75:AO75)</f>
        <v>0</v>
      </c>
      <c r="AQ75" s="7">
        <v>0</v>
      </c>
      <c r="AR75" s="7">
        <v>0</v>
      </c>
      <c r="AS75" s="7">
        <v>0</v>
      </c>
      <c r="AT75" s="74">
        <f>SUM(AQ75:AS75)</f>
        <v>0</v>
      </c>
      <c r="AU75" s="80">
        <f t="shared" ref="AU75:AU83" si="79">AP75+AT75</f>
        <v>0</v>
      </c>
      <c r="AV75" s="7">
        <v>0</v>
      </c>
      <c r="AW75" s="7">
        <v>0</v>
      </c>
      <c r="AX75" s="7">
        <v>0</v>
      </c>
      <c r="AY75" s="73">
        <f t="shared" si="76"/>
        <v>0</v>
      </c>
      <c r="AZ75" s="7">
        <v>0</v>
      </c>
      <c r="BA75" s="7">
        <v>0</v>
      </c>
      <c r="BB75" s="7">
        <v>0</v>
      </c>
      <c r="BC75" s="98">
        <f t="shared" si="71"/>
        <v>0</v>
      </c>
      <c r="BD75" s="80">
        <f t="shared" si="72"/>
        <v>0</v>
      </c>
    </row>
    <row r="76" spans="1:56" ht="33" customHeight="1" thickBot="1" x14ac:dyDescent="0.3">
      <c r="A76" s="88" t="s">
        <v>102</v>
      </c>
      <c r="B76" s="10" t="s">
        <v>103</v>
      </c>
      <c r="C76" s="35">
        <v>439453.91000000003</v>
      </c>
      <c r="D76" s="35">
        <v>423563.47100000002</v>
      </c>
      <c r="E76" s="35">
        <v>34469.5</v>
      </c>
      <c r="F76" s="144">
        <f>SUM(C76:E76)</f>
        <v>897486.88100000005</v>
      </c>
      <c r="G76" s="35">
        <v>146082207.53</v>
      </c>
      <c r="H76" s="35">
        <v>38066112.364794798</v>
      </c>
      <c r="I76" s="140">
        <v>38066112.364794798</v>
      </c>
      <c r="J76" s="144">
        <f>G76+H76</f>
        <v>184148319.89479479</v>
      </c>
      <c r="K76" s="146">
        <f t="shared" si="73"/>
        <v>185045806.7757948</v>
      </c>
      <c r="L76" s="140">
        <v>563092.09499999997</v>
      </c>
      <c r="M76" s="140">
        <v>395024.49300000002</v>
      </c>
      <c r="N76" s="140">
        <v>29440</v>
      </c>
      <c r="O76" s="145">
        <f t="shared" si="68"/>
        <v>987556.58799999999</v>
      </c>
      <c r="P76" s="140">
        <v>142219823.15000001</v>
      </c>
      <c r="Q76" s="209">
        <v>88446.600999999995</v>
      </c>
      <c r="R76" s="140">
        <v>51822482.918000005</v>
      </c>
      <c r="S76" s="144">
        <f t="shared" si="69"/>
        <v>194130752.66900003</v>
      </c>
      <c r="T76" s="146">
        <f t="shared" si="70"/>
        <v>195118309.25700003</v>
      </c>
      <c r="U76" s="7">
        <v>0</v>
      </c>
      <c r="V76" s="7">
        <v>0</v>
      </c>
      <c r="W76" s="7">
        <v>0</v>
      </c>
      <c r="X76" s="74">
        <f>SUM(U76:W76)</f>
        <v>0</v>
      </c>
      <c r="Y76" s="7">
        <v>0</v>
      </c>
      <c r="Z76" s="7">
        <v>0</v>
      </c>
      <c r="AA76" s="7">
        <v>0</v>
      </c>
      <c r="AB76" s="74">
        <f>SUM(Y76:AA76)</f>
        <v>0</v>
      </c>
      <c r="AC76" s="80">
        <f t="shared" si="77"/>
        <v>0</v>
      </c>
      <c r="AD76" s="7">
        <v>0</v>
      </c>
      <c r="AE76" s="7">
        <v>0</v>
      </c>
      <c r="AF76" s="7">
        <v>0</v>
      </c>
      <c r="AG76" s="74">
        <f>SUM(AD76:AF76)</f>
        <v>0</v>
      </c>
      <c r="AH76" s="7">
        <v>0</v>
      </c>
      <c r="AI76" s="7">
        <v>0</v>
      </c>
      <c r="AJ76" s="7">
        <v>0</v>
      </c>
      <c r="AK76" s="74">
        <f>SUM(AH76:AJ76)</f>
        <v>0</v>
      </c>
      <c r="AL76" s="80">
        <f t="shared" si="78"/>
        <v>0</v>
      </c>
      <c r="AM76" s="7">
        <v>0</v>
      </c>
      <c r="AN76" s="7">
        <v>0</v>
      </c>
      <c r="AO76" s="7">
        <v>0</v>
      </c>
      <c r="AP76" s="74">
        <f>SUM(AM76:AO76)</f>
        <v>0</v>
      </c>
      <c r="AQ76" s="7">
        <v>0</v>
      </c>
      <c r="AR76" s="7">
        <v>0</v>
      </c>
      <c r="AS76" s="7">
        <v>0</v>
      </c>
      <c r="AT76" s="74">
        <f>SUM(AQ76:AS76)</f>
        <v>0</v>
      </c>
      <c r="AU76" s="80">
        <f t="shared" si="79"/>
        <v>0</v>
      </c>
      <c r="AV76" s="7">
        <v>0</v>
      </c>
      <c r="AW76" s="7">
        <v>0</v>
      </c>
      <c r="AX76" s="7">
        <v>0</v>
      </c>
      <c r="AY76" s="73">
        <f t="shared" si="76"/>
        <v>0</v>
      </c>
      <c r="AZ76" s="7">
        <v>0</v>
      </c>
      <c r="BA76" s="7">
        <v>0</v>
      </c>
      <c r="BB76" s="7">
        <v>0</v>
      </c>
      <c r="BC76" s="98">
        <f t="shared" si="71"/>
        <v>0</v>
      </c>
      <c r="BD76" s="80">
        <f t="shared" si="72"/>
        <v>0</v>
      </c>
    </row>
    <row r="77" spans="1:56" ht="17.25" thickBot="1" x14ac:dyDescent="0.3">
      <c r="A77" s="88" t="s">
        <v>104</v>
      </c>
      <c r="B77" s="8" t="s">
        <v>105</v>
      </c>
      <c r="C77" s="35">
        <v>58697.661</v>
      </c>
      <c r="D77" s="35">
        <v>17866.050000000003</v>
      </c>
      <c r="E77" s="35">
        <v>0</v>
      </c>
      <c r="F77" s="144">
        <f>SUM(C77:E77)</f>
        <v>76563.71100000001</v>
      </c>
      <c r="G77" s="35">
        <v>0</v>
      </c>
      <c r="H77" s="35">
        <v>0</v>
      </c>
      <c r="I77" s="140">
        <v>0</v>
      </c>
      <c r="J77" s="144">
        <f>SUM(G77:I77)</f>
        <v>0</v>
      </c>
      <c r="K77" s="146">
        <f t="shared" si="73"/>
        <v>76563.71100000001</v>
      </c>
      <c r="L77" s="140">
        <v>86333.381000000008</v>
      </c>
      <c r="M77" s="140">
        <v>15420</v>
      </c>
      <c r="N77" s="140">
        <v>0</v>
      </c>
      <c r="O77" s="145">
        <f t="shared" si="68"/>
        <v>101753.38100000001</v>
      </c>
      <c r="P77" s="140">
        <v>0</v>
      </c>
      <c r="Q77" s="209">
        <v>0</v>
      </c>
      <c r="R77" s="140">
        <v>0</v>
      </c>
      <c r="S77" s="157">
        <f t="shared" si="69"/>
        <v>0</v>
      </c>
      <c r="T77" s="146">
        <f t="shared" si="70"/>
        <v>101753.38100000001</v>
      </c>
      <c r="U77" s="7">
        <v>0</v>
      </c>
      <c r="V77" s="7">
        <v>0</v>
      </c>
      <c r="W77" s="7">
        <v>0</v>
      </c>
      <c r="X77" s="74">
        <f>SUM(U77:W77)</f>
        <v>0</v>
      </c>
      <c r="Y77" s="7">
        <v>0</v>
      </c>
      <c r="Z77" s="7">
        <v>0</v>
      </c>
      <c r="AA77" s="7"/>
      <c r="AB77" s="74">
        <f>SUM(Y77:AA77)</f>
        <v>0</v>
      </c>
      <c r="AC77" s="80">
        <f t="shared" si="77"/>
        <v>0</v>
      </c>
      <c r="AD77" s="7">
        <v>0</v>
      </c>
      <c r="AE77" s="7">
        <v>0</v>
      </c>
      <c r="AF77" s="7">
        <v>0</v>
      </c>
      <c r="AG77" s="74">
        <f>SUM(AD77:AF77)</f>
        <v>0</v>
      </c>
      <c r="AH77" s="7">
        <v>0</v>
      </c>
      <c r="AI77" s="7">
        <v>0</v>
      </c>
      <c r="AJ77" s="7"/>
      <c r="AK77" s="74">
        <f>SUM(AH77:AJ77)</f>
        <v>0</v>
      </c>
      <c r="AL77" s="80">
        <f t="shared" si="78"/>
        <v>0</v>
      </c>
      <c r="AM77" s="7">
        <v>0</v>
      </c>
      <c r="AN77" s="7">
        <v>0</v>
      </c>
      <c r="AO77" s="7">
        <v>0</v>
      </c>
      <c r="AP77" s="74">
        <f>SUM(AM77:AO77)</f>
        <v>0</v>
      </c>
      <c r="AQ77" s="7">
        <v>0</v>
      </c>
      <c r="AR77" s="7">
        <v>0</v>
      </c>
      <c r="AS77" s="7">
        <v>0</v>
      </c>
      <c r="AT77" s="74">
        <f>SUM(AQ77:AS77)</f>
        <v>0</v>
      </c>
      <c r="AU77" s="80">
        <f t="shared" si="79"/>
        <v>0</v>
      </c>
      <c r="AV77" s="7">
        <v>0</v>
      </c>
      <c r="AW77" s="7">
        <v>0</v>
      </c>
      <c r="AX77" s="7">
        <v>0</v>
      </c>
      <c r="AY77" s="73">
        <f t="shared" si="76"/>
        <v>0</v>
      </c>
      <c r="AZ77" s="7">
        <v>0</v>
      </c>
      <c r="BA77" s="7">
        <v>0</v>
      </c>
      <c r="BB77" s="7">
        <v>0</v>
      </c>
      <c r="BC77" s="98">
        <f t="shared" si="71"/>
        <v>0</v>
      </c>
      <c r="BD77" s="80">
        <f t="shared" si="72"/>
        <v>0</v>
      </c>
    </row>
    <row r="78" spans="1:56" ht="17.25" thickBot="1" x14ac:dyDescent="0.3">
      <c r="A78" s="88" t="s">
        <v>106</v>
      </c>
      <c r="B78" s="8" t="s">
        <v>107</v>
      </c>
      <c r="C78" s="35">
        <v>34924.701000000001</v>
      </c>
      <c r="D78" s="35">
        <v>17895.5</v>
      </c>
      <c r="E78" s="35">
        <v>0</v>
      </c>
      <c r="F78" s="144">
        <f>SUM(C78:E78)</f>
        <v>52820.201000000001</v>
      </c>
      <c r="G78" s="35">
        <v>0</v>
      </c>
      <c r="H78" s="35">
        <v>0</v>
      </c>
      <c r="I78" s="140">
        <v>0</v>
      </c>
      <c r="J78" s="144">
        <f>SUM(G78:I78)</f>
        <v>0</v>
      </c>
      <c r="K78" s="146">
        <f t="shared" si="73"/>
        <v>52820.201000000001</v>
      </c>
      <c r="L78" s="140">
        <v>47008.496999999996</v>
      </c>
      <c r="M78" s="140">
        <v>19168.25</v>
      </c>
      <c r="N78" s="140">
        <v>4311.2339999999995</v>
      </c>
      <c r="O78" s="145">
        <f t="shared" si="68"/>
        <v>70487.981</v>
      </c>
      <c r="P78" s="140">
        <v>4350000</v>
      </c>
      <c r="Q78" s="209">
        <v>0</v>
      </c>
      <c r="R78" s="140">
        <v>0</v>
      </c>
      <c r="S78" s="144">
        <f t="shared" si="69"/>
        <v>4350000</v>
      </c>
      <c r="T78" s="146">
        <f t="shared" si="70"/>
        <v>4420487.9809999997</v>
      </c>
      <c r="U78" s="7">
        <v>0</v>
      </c>
      <c r="V78" s="7">
        <v>0</v>
      </c>
      <c r="W78" s="7">
        <v>0</v>
      </c>
      <c r="X78" s="74">
        <f>SUM(U78:W78)</f>
        <v>0</v>
      </c>
      <c r="Y78" s="7"/>
      <c r="Z78" s="7"/>
      <c r="AA78" s="7"/>
      <c r="AB78" s="74">
        <f>SUM(Y78:AA78)</f>
        <v>0</v>
      </c>
      <c r="AC78" s="80">
        <f t="shared" si="77"/>
        <v>0</v>
      </c>
      <c r="AD78" s="7">
        <v>0</v>
      </c>
      <c r="AE78" s="7">
        <v>0</v>
      </c>
      <c r="AF78" s="7">
        <v>0</v>
      </c>
      <c r="AG78" s="74">
        <f>SUM(AD78:AF78)</f>
        <v>0</v>
      </c>
      <c r="AH78" s="7"/>
      <c r="AI78" s="7"/>
      <c r="AJ78" s="7"/>
      <c r="AK78" s="74">
        <f>SUM(AH78:AJ78)</f>
        <v>0</v>
      </c>
      <c r="AL78" s="80">
        <f t="shared" si="78"/>
        <v>0</v>
      </c>
      <c r="AM78" s="7">
        <v>0</v>
      </c>
      <c r="AN78" s="7">
        <v>0</v>
      </c>
      <c r="AO78" s="7">
        <v>0</v>
      </c>
      <c r="AP78" s="74">
        <f>SUM(AM78:AO78)</f>
        <v>0</v>
      </c>
      <c r="AQ78" s="7">
        <v>0</v>
      </c>
      <c r="AR78" s="7">
        <v>0</v>
      </c>
      <c r="AS78" s="7">
        <v>0</v>
      </c>
      <c r="AT78" s="74">
        <f>SUM(AQ78:AS78)</f>
        <v>0</v>
      </c>
      <c r="AU78" s="80">
        <f t="shared" si="79"/>
        <v>0</v>
      </c>
      <c r="AV78" s="7">
        <v>0</v>
      </c>
      <c r="AW78" s="7">
        <v>0</v>
      </c>
      <c r="AX78" s="7">
        <v>0</v>
      </c>
      <c r="AY78" s="73">
        <f t="shared" si="76"/>
        <v>0</v>
      </c>
      <c r="AZ78" s="7">
        <v>0</v>
      </c>
      <c r="BA78" s="7">
        <v>0</v>
      </c>
      <c r="BB78" s="7">
        <v>0</v>
      </c>
      <c r="BC78" s="98">
        <f t="shared" si="71"/>
        <v>0</v>
      </c>
      <c r="BD78" s="80">
        <f t="shared" si="72"/>
        <v>0</v>
      </c>
    </row>
    <row r="79" spans="1:56" ht="17.25" thickBot="1" x14ac:dyDescent="0.3">
      <c r="A79" s="89" t="s">
        <v>108</v>
      </c>
      <c r="B79" s="8" t="s">
        <v>109</v>
      </c>
      <c r="C79" s="35">
        <v>43829.537000000004</v>
      </c>
      <c r="D79" s="35">
        <v>0</v>
      </c>
      <c r="E79" s="35">
        <v>280000</v>
      </c>
      <c r="F79" s="144">
        <f>SUM(C79:E79)</f>
        <v>323829.53700000001</v>
      </c>
      <c r="G79" s="35">
        <v>10552627.242000001</v>
      </c>
      <c r="H79" s="35">
        <v>0</v>
      </c>
      <c r="I79" s="140">
        <v>0</v>
      </c>
      <c r="J79" s="144">
        <f>G79+H79</f>
        <v>10552627.242000001</v>
      </c>
      <c r="K79" s="146">
        <f t="shared" si="73"/>
        <v>10876456.779000001</v>
      </c>
      <c r="L79" s="140">
        <v>6501.9660000000003</v>
      </c>
      <c r="M79" s="140">
        <v>0</v>
      </c>
      <c r="N79" s="140">
        <v>280000</v>
      </c>
      <c r="O79" s="145">
        <f t="shared" si="68"/>
        <v>286501.96600000001</v>
      </c>
      <c r="P79" s="140">
        <v>7995790.21</v>
      </c>
      <c r="Q79" s="209">
        <v>0</v>
      </c>
      <c r="R79" s="140">
        <v>0</v>
      </c>
      <c r="S79" s="144">
        <f t="shared" si="69"/>
        <v>7995790.21</v>
      </c>
      <c r="T79" s="146">
        <f t="shared" si="70"/>
        <v>8282292.176</v>
      </c>
      <c r="U79" s="7">
        <v>0</v>
      </c>
      <c r="V79" s="7">
        <v>0</v>
      </c>
      <c r="W79" s="7">
        <v>0</v>
      </c>
      <c r="X79" s="74">
        <f>SUM(U79:W79)</f>
        <v>0</v>
      </c>
      <c r="Y79" s="7">
        <v>0</v>
      </c>
      <c r="Z79" s="7"/>
      <c r="AA79" s="7">
        <v>0</v>
      </c>
      <c r="AB79" s="74">
        <f>SUM(Y79:AA79)</f>
        <v>0</v>
      </c>
      <c r="AC79" s="80">
        <f t="shared" si="77"/>
        <v>0</v>
      </c>
      <c r="AD79" s="7">
        <v>0</v>
      </c>
      <c r="AE79" s="7">
        <v>0</v>
      </c>
      <c r="AF79" s="7">
        <v>0</v>
      </c>
      <c r="AG79" s="74">
        <f>SUM(AD79:AF79)</f>
        <v>0</v>
      </c>
      <c r="AH79" s="7">
        <v>0</v>
      </c>
      <c r="AI79" s="7"/>
      <c r="AJ79" s="7">
        <v>0</v>
      </c>
      <c r="AK79" s="74">
        <f>SUM(AH79:AJ79)</f>
        <v>0</v>
      </c>
      <c r="AL79" s="80">
        <f t="shared" si="78"/>
        <v>0</v>
      </c>
      <c r="AM79" s="7">
        <v>0</v>
      </c>
      <c r="AN79" s="7">
        <v>0</v>
      </c>
      <c r="AO79" s="7">
        <v>0</v>
      </c>
      <c r="AP79" s="74">
        <f>SUM(AM79:AO79)</f>
        <v>0</v>
      </c>
      <c r="AQ79" s="7">
        <v>0</v>
      </c>
      <c r="AR79" s="7">
        <v>0</v>
      </c>
      <c r="AS79" s="7">
        <v>0</v>
      </c>
      <c r="AT79" s="74">
        <f>SUM(AQ79:AS79)</f>
        <v>0</v>
      </c>
      <c r="AU79" s="80">
        <f t="shared" si="79"/>
        <v>0</v>
      </c>
      <c r="AV79" s="7">
        <v>0</v>
      </c>
      <c r="AW79" s="7">
        <v>0</v>
      </c>
      <c r="AX79" s="7">
        <v>0</v>
      </c>
      <c r="AY79" s="73">
        <f t="shared" si="76"/>
        <v>0</v>
      </c>
      <c r="AZ79" s="7">
        <v>0</v>
      </c>
      <c r="BA79" s="7">
        <v>0</v>
      </c>
      <c r="BB79" s="7">
        <v>0</v>
      </c>
      <c r="BC79" s="98">
        <f t="shared" si="71"/>
        <v>0</v>
      </c>
      <c r="BD79" s="80">
        <f t="shared" si="72"/>
        <v>0</v>
      </c>
    </row>
    <row r="80" spans="1:56" ht="17.25" thickBot="1" x14ac:dyDescent="0.3">
      <c r="A80" s="171" t="s">
        <v>110</v>
      </c>
      <c r="B80" s="172"/>
      <c r="C80" s="141">
        <f>C81+C82+C83</f>
        <v>1195562.186</v>
      </c>
      <c r="D80" s="141">
        <f>D81+D82+D83</f>
        <v>1090489.2649999999</v>
      </c>
      <c r="E80" s="142">
        <f>E81+E82+E83</f>
        <v>339000</v>
      </c>
      <c r="F80" s="143">
        <f>C80+D80+E80</f>
        <v>2625051.4509999999</v>
      </c>
      <c r="G80" s="142">
        <f>G81+G82+G83</f>
        <v>270401.97500000003</v>
      </c>
      <c r="H80" s="142">
        <f>H81+H82+H83</f>
        <v>0</v>
      </c>
      <c r="I80" s="142">
        <f>I81+I82+I83</f>
        <v>0</v>
      </c>
      <c r="J80" s="143">
        <f t="shared" ref="J80:J83" si="80">G80+H80+I80</f>
        <v>270401.97500000003</v>
      </c>
      <c r="K80" s="146">
        <f t="shared" si="73"/>
        <v>2895453.426</v>
      </c>
      <c r="L80" s="141">
        <f>L81+L82+L83</f>
        <v>1352486.2120000001</v>
      </c>
      <c r="M80" s="141">
        <f>M81+M82+M83</f>
        <v>1132249.139</v>
      </c>
      <c r="N80" s="141">
        <f>N81+N82+N83</f>
        <v>300000</v>
      </c>
      <c r="O80" s="143">
        <f t="shared" si="68"/>
        <v>2784735.3509999998</v>
      </c>
      <c r="P80" s="141">
        <f>P81+P82+P83</f>
        <v>126946.242</v>
      </c>
      <c r="Q80" s="141">
        <f>Q81+Q82+Q83</f>
        <v>0</v>
      </c>
      <c r="R80" s="141">
        <f>R81+R82+R83</f>
        <v>0</v>
      </c>
      <c r="S80" s="157">
        <f t="shared" si="69"/>
        <v>126946.242</v>
      </c>
      <c r="T80" s="146">
        <f t="shared" si="70"/>
        <v>2911681.5929999999</v>
      </c>
      <c r="U80" s="5">
        <f>U81+U82+U83</f>
        <v>1378609</v>
      </c>
      <c r="V80" s="5">
        <f>V81+V82+V83</f>
        <v>1651906</v>
      </c>
      <c r="W80" s="5">
        <f>W81+W82+W83</f>
        <v>860000</v>
      </c>
      <c r="X80" s="73">
        <f>U80+V80+W80</f>
        <v>3890515</v>
      </c>
      <c r="Y80" s="5">
        <f>Y81+Y82+Y83</f>
        <v>477279</v>
      </c>
      <c r="Z80" s="5">
        <f>Z81+Z82+Z83</f>
        <v>0</v>
      </c>
      <c r="AA80" s="5">
        <f>AA81+AA82+AA83</f>
        <v>0</v>
      </c>
      <c r="AB80" s="73">
        <f>Y80+Z80+AA80</f>
        <v>477279</v>
      </c>
      <c r="AC80" s="80">
        <f t="shared" si="77"/>
        <v>4367794</v>
      </c>
      <c r="AD80" s="5">
        <f>AD81+AD82+AD83</f>
        <v>1359337</v>
      </c>
      <c r="AE80" s="5">
        <f>AE81+AE82+AE83</f>
        <v>1651906</v>
      </c>
      <c r="AF80" s="5">
        <f>AF81+AF82+AF83</f>
        <v>2860000</v>
      </c>
      <c r="AG80" s="73">
        <f>AD80+AE80+AF80</f>
        <v>5871243</v>
      </c>
      <c r="AH80" s="5">
        <f>AH81+AH82+AH83</f>
        <v>472940</v>
      </c>
      <c r="AI80" s="5">
        <f>AI81+AI82+AI83</f>
        <v>0</v>
      </c>
      <c r="AJ80" s="5">
        <f>AJ81+AJ82+AJ83</f>
        <v>0</v>
      </c>
      <c r="AK80" s="73">
        <f>AH80+AI80+AJ80</f>
        <v>472940</v>
      </c>
      <c r="AL80" s="80">
        <f>AG80+AK80</f>
        <v>6344183</v>
      </c>
      <c r="AM80" s="5">
        <f>AM81+AM82+AM83</f>
        <v>1453187</v>
      </c>
      <c r="AN80" s="5">
        <f>AN81+AN82+AN83</f>
        <v>1651906</v>
      </c>
      <c r="AO80" s="5">
        <f>AO81+AO82+AO83</f>
        <v>2860000</v>
      </c>
      <c r="AP80" s="73">
        <f>AM80+AN80+AO80</f>
        <v>5965093</v>
      </c>
      <c r="AQ80" s="5">
        <f>AQ81+AQ82+AQ83</f>
        <v>472940</v>
      </c>
      <c r="AR80" s="5">
        <f>AR81+AR82+AR83</f>
        <v>0</v>
      </c>
      <c r="AS80" s="5">
        <f>AS81+AS82+AS83</f>
        <v>0</v>
      </c>
      <c r="AT80" s="73">
        <f>AQ80+AR80+AS80</f>
        <v>472940</v>
      </c>
      <c r="AU80" s="80">
        <f t="shared" si="79"/>
        <v>6438033</v>
      </c>
      <c r="AV80" s="5">
        <f>AV81+AV82+AV83</f>
        <v>1538293</v>
      </c>
      <c r="AW80" s="5">
        <f>AW81+AW82+AW83</f>
        <v>1651906</v>
      </c>
      <c r="AX80" s="5">
        <f>AX81+AX82+AX83</f>
        <v>2860000</v>
      </c>
      <c r="AY80" s="73">
        <f t="shared" si="76"/>
        <v>6050199</v>
      </c>
      <c r="AZ80" s="5">
        <f>AZ81+AZ82+AZ83</f>
        <v>472940</v>
      </c>
      <c r="BA80" s="5">
        <f>BA81+BA82+BA83</f>
        <v>477279</v>
      </c>
      <c r="BB80" s="5">
        <f>BB81+BB82+BB83</f>
        <v>0</v>
      </c>
      <c r="BC80" s="73">
        <f t="shared" si="71"/>
        <v>950219</v>
      </c>
      <c r="BD80" s="80">
        <f t="shared" si="72"/>
        <v>7000418</v>
      </c>
    </row>
    <row r="81" spans="1:56" ht="17.25" thickBot="1" x14ac:dyDescent="0.3">
      <c r="A81" s="88" t="s">
        <v>111</v>
      </c>
      <c r="B81" s="35" t="s">
        <v>189</v>
      </c>
      <c r="C81" s="35">
        <v>921482.77399999998</v>
      </c>
      <c r="D81" s="35">
        <v>729409.18299999996</v>
      </c>
      <c r="E81" s="35">
        <v>0</v>
      </c>
      <c r="F81" s="144">
        <f>SUM(C81:E81)</f>
        <v>1650891.9569999999</v>
      </c>
      <c r="G81" s="35">
        <v>118774.3</v>
      </c>
      <c r="H81" s="35">
        <v>0</v>
      </c>
      <c r="I81" s="140">
        <v>0</v>
      </c>
      <c r="J81" s="144">
        <f>G81+H81</f>
        <v>118774.3</v>
      </c>
      <c r="K81" s="146">
        <f t="shared" si="73"/>
        <v>1769666.257</v>
      </c>
      <c r="L81" s="140">
        <v>647201.00699999998</v>
      </c>
      <c r="M81" s="140">
        <v>766253.24</v>
      </c>
      <c r="N81" s="140">
        <v>0</v>
      </c>
      <c r="O81" s="145">
        <f t="shared" si="68"/>
        <v>1413454.247</v>
      </c>
      <c r="P81" s="140">
        <v>0</v>
      </c>
      <c r="Q81" s="30"/>
      <c r="R81" s="30"/>
      <c r="S81" s="144">
        <f t="shared" si="69"/>
        <v>0</v>
      </c>
      <c r="T81" s="146">
        <f t="shared" si="70"/>
        <v>1413454.247</v>
      </c>
      <c r="U81" s="7">
        <v>767506</v>
      </c>
      <c r="V81" s="7">
        <v>1105617</v>
      </c>
      <c r="W81" s="7">
        <v>0</v>
      </c>
      <c r="X81" s="74">
        <f>SUM(U81:W81)</f>
        <v>1873123</v>
      </c>
      <c r="Y81" s="7"/>
      <c r="Z81" s="7"/>
      <c r="AA81" s="7"/>
      <c r="AB81" s="74">
        <f t="shared" ref="AB81:AB83" si="81">Y81+Z81+AA81</f>
        <v>0</v>
      </c>
      <c r="AC81" s="80">
        <f t="shared" si="77"/>
        <v>1873123</v>
      </c>
      <c r="AD81" s="28">
        <v>740253</v>
      </c>
      <c r="AE81" s="28">
        <v>1150672</v>
      </c>
      <c r="AF81" s="28">
        <v>0</v>
      </c>
      <c r="AG81" s="74">
        <f>SUM(AD81:AF81)</f>
        <v>1890925</v>
      </c>
      <c r="AH81" s="7"/>
      <c r="AI81" s="7"/>
      <c r="AJ81" s="7"/>
      <c r="AK81" s="74">
        <f t="shared" ref="AK81:AK86" si="82">AH81+AI81+AJ81</f>
        <v>0</v>
      </c>
      <c r="AL81" s="80">
        <f t="shared" si="78"/>
        <v>1890925</v>
      </c>
      <c r="AM81" s="19">
        <v>789558</v>
      </c>
      <c r="AN81" s="19">
        <v>1150672</v>
      </c>
      <c r="AO81" s="7">
        <v>0</v>
      </c>
      <c r="AP81" s="74">
        <f>SUM(AM81:AO81)</f>
        <v>1940230</v>
      </c>
      <c r="AQ81" s="7"/>
      <c r="AR81" s="7"/>
      <c r="AS81" s="7"/>
      <c r="AT81" s="74">
        <f>AQ81+AR81+AS81</f>
        <v>0</v>
      </c>
      <c r="AU81" s="80">
        <f t="shared" si="79"/>
        <v>1940230</v>
      </c>
      <c r="AV81" s="17">
        <v>834269</v>
      </c>
      <c r="AW81" s="17">
        <v>1150672</v>
      </c>
      <c r="AX81" s="17"/>
      <c r="AY81" s="98">
        <f t="shared" si="76"/>
        <v>1984941</v>
      </c>
      <c r="AZ81" s="7">
        <v>0</v>
      </c>
      <c r="BA81" s="7">
        <v>0</v>
      </c>
      <c r="BB81" s="7">
        <v>0</v>
      </c>
      <c r="BC81" s="98">
        <f t="shared" si="71"/>
        <v>0</v>
      </c>
      <c r="BD81" s="80">
        <f t="shared" si="72"/>
        <v>1984941</v>
      </c>
    </row>
    <row r="82" spans="1:56" ht="17.25" thickBot="1" x14ac:dyDescent="0.3">
      <c r="A82" s="88" t="s">
        <v>112</v>
      </c>
      <c r="B82" s="6" t="s">
        <v>113</v>
      </c>
      <c r="C82" s="35">
        <v>126324.33100000001</v>
      </c>
      <c r="D82" s="35">
        <v>36843.798000000003</v>
      </c>
      <c r="E82" s="35">
        <v>339000</v>
      </c>
      <c r="F82" s="144">
        <f>SUM(C82:E82)</f>
        <v>502168.12900000002</v>
      </c>
      <c r="G82" s="35">
        <v>0</v>
      </c>
      <c r="H82" s="35">
        <v>0</v>
      </c>
      <c r="I82" s="140">
        <v>0</v>
      </c>
      <c r="J82" s="144">
        <f t="shared" si="80"/>
        <v>0</v>
      </c>
      <c r="K82" s="146">
        <f t="shared" si="73"/>
        <v>502168.12900000002</v>
      </c>
      <c r="L82" s="140">
        <v>152985.33100000001</v>
      </c>
      <c r="M82" s="140">
        <v>32899.103999999999</v>
      </c>
      <c r="N82" s="140">
        <v>300000</v>
      </c>
      <c r="O82" s="145">
        <f t="shared" si="68"/>
        <v>485884.435</v>
      </c>
      <c r="P82" s="140">
        <v>0</v>
      </c>
      <c r="Q82" s="30">
        <v>0</v>
      </c>
      <c r="R82" s="30">
        <v>0</v>
      </c>
      <c r="S82" s="144">
        <f t="shared" si="69"/>
        <v>0</v>
      </c>
      <c r="T82" s="146">
        <f t="shared" si="70"/>
        <v>485884.435</v>
      </c>
      <c r="U82" s="7">
        <v>167454</v>
      </c>
      <c r="V82" s="7">
        <v>165020</v>
      </c>
      <c r="W82" s="7">
        <v>360000</v>
      </c>
      <c r="X82" s="74">
        <f>SUM(U82:W82)</f>
        <v>692474</v>
      </c>
      <c r="Y82" s="7">
        <v>0</v>
      </c>
      <c r="Z82" s="7">
        <v>0</v>
      </c>
      <c r="AA82" s="7">
        <v>0</v>
      </c>
      <c r="AB82" s="74">
        <f t="shared" si="81"/>
        <v>0</v>
      </c>
      <c r="AC82" s="80">
        <f t="shared" si="77"/>
        <v>692474</v>
      </c>
      <c r="AD82" s="30">
        <v>58215</v>
      </c>
      <c r="AE82" s="30">
        <v>106376</v>
      </c>
      <c r="AF82" s="30">
        <v>360000</v>
      </c>
      <c r="AG82" s="74">
        <f>SUM(AD82:AF82)</f>
        <v>524591</v>
      </c>
      <c r="AH82" s="7">
        <v>0</v>
      </c>
      <c r="AI82" s="7">
        <v>0</v>
      </c>
      <c r="AJ82" s="7">
        <v>0</v>
      </c>
      <c r="AK82" s="74">
        <f t="shared" si="82"/>
        <v>0</v>
      </c>
      <c r="AL82" s="80">
        <f t="shared" si="78"/>
        <v>524591</v>
      </c>
      <c r="AM82" s="19">
        <v>62593</v>
      </c>
      <c r="AN82" s="19">
        <v>106376</v>
      </c>
      <c r="AO82" s="19">
        <v>360000</v>
      </c>
      <c r="AP82" s="74">
        <f>SUM(AM82:AO82)</f>
        <v>528969</v>
      </c>
      <c r="AQ82" s="7">
        <v>0</v>
      </c>
      <c r="AR82" s="7">
        <v>0</v>
      </c>
      <c r="AS82" s="7">
        <v>0</v>
      </c>
      <c r="AT82" s="74">
        <f>AQ82+AR82+AS82</f>
        <v>0</v>
      </c>
      <c r="AU82" s="80">
        <f t="shared" si="79"/>
        <v>528969</v>
      </c>
      <c r="AV82" s="17">
        <v>66563</v>
      </c>
      <c r="AW82" s="17">
        <v>106376</v>
      </c>
      <c r="AX82" s="17">
        <v>360000</v>
      </c>
      <c r="AY82" s="98">
        <f t="shared" si="76"/>
        <v>532939</v>
      </c>
      <c r="AZ82" s="7">
        <v>0</v>
      </c>
      <c r="BA82" s="7">
        <v>0</v>
      </c>
      <c r="BB82" s="7">
        <v>0</v>
      </c>
      <c r="BC82" s="98">
        <f t="shared" si="71"/>
        <v>0</v>
      </c>
      <c r="BD82" s="80">
        <f t="shared" si="72"/>
        <v>532939</v>
      </c>
    </row>
    <row r="83" spans="1:56" ht="17.25" thickBot="1" x14ac:dyDescent="0.3">
      <c r="A83" s="88" t="s">
        <v>114</v>
      </c>
      <c r="B83" s="6" t="s">
        <v>115</v>
      </c>
      <c r="C83" s="35">
        <v>147755.08099999998</v>
      </c>
      <c r="D83" s="35">
        <v>324236.28399999999</v>
      </c>
      <c r="E83" s="35">
        <v>0</v>
      </c>
      <c r="F83" s="144">
        <f>SUM(C83:E83)</f>
        <v>471991.36499999999</v>
      </c>
      <c r="G83" s="35">
        <v>151627.67500000002</v>
      </c>
      <c r="H83" s="142">
        <v>0</v>
      </c>
      <c r="I83" s="142">
        <v>0</v>
      </c>
      <c r="J83" s="144">
        <f t="shared" si="80"/>
        <v>151627.67500000002</v>
      </c>
      <c r="K83" s="146">
        <f t="shared" si="73"/>
        <v>623619.04</v>
      </c>
      <c r="L83" s="140">
        <v>552299.87400000007</v>
      </c>
      <c r="M83" s="140">
        <v>333096.79499999998</v>
      </c>
      <c r="N83" s="140">
        <v>0</v>
      </c>
      <c r="O83" s="145">
        <f t="shared" si="68"/>
        <v>885396.66899999999</v>
      </c>
      <c r="P83" s="140">
        <v>126946.242</v>
      </c>
      <c r="Q83" s="30">
        <v>0</v>
      </c>
      <c r="R83" s="30">
        <v>0</v>
      </c>
      <c r="S83" s="144">
        <f t="shared" si="69"/>
        <v>126946.242</v>
      </c>
      <c r="T83" s="146">
        <f t="shared" si="70"/>
        <v>1012342.911</v>
      </c>
      <c r="U83" s="7">
        <v>443649</v>
      </c>
      <c r="V83" s="7">
        <v>381269</v>
      </c>
      <c r="W83" s="7">
        <v>500000</v>
      </c>
      <c r="X83" s="74">
        <f>SUM(U83:W83)</f>
        <v>1324918</v>
      </c>
      <c r="Y83" s="7">
        <v>477279</v>
      </c>
      <c r="Z83" s="7">
        <v>0</v>
      </c>
      <c r="AA83" s="7">
        <v>0</v>
      </c>
      <c r="AB83" s="74">
        <f t="shared" si="81"/>
        <v>477279</v>
      </c>
      <c r="AC83" s="80">
        <f t="shared" si="77"/>
        <v>1802197</v>
      </c>
      <c r="AD83" s="35">
        <v>560869</v>
      </c>
      <c r="AE83" s="35">
        <v>394858</v>
      </c>
      <c r="AF83" s="35">
        <v>2500000</v>
      </c>
      <c r="AG83" s="74">
        <f>SUM(AD83:AF83)</f>
        <v>3455727</v>
      </c>
      <c r="AH83" s="35">
        <v>472940</v>
      </c>
      <c r="AI83" s="7">
        <v>0</v>
      </c>
      <c r="AJ83" s="7">
        <v>0</v>
      </c>
      <c r="AK83" s="74">
        <f t="shared" si="82"/>
        <v>472940</v>
      </c>
      <c r="AL83" s="80">
        <f t="shared" si="78"/>
        <v>3928667</v>
      </c>
      <c r="AM83" s="7">
        <v>601036</v>
      </c>
      <c r="AN83" s="19">
        <v>394858</v>
      </c>
      <c r="AO83" s="19">
        <v>2500000</v>
      </c>
      <c r="AP83" s="74">
        <f>SUM(AM83:AO83)</f>
        <v>3495894</v>
      </c>
      <c r="AQ83" s="7">
        <v>472940</v>
      </c>
      <c r="AR83" s="7">
        <v>0</v>
      </c>
      <c r="AS83" s="7">
        <v>0</v>
      </c>
      <c r="AT83" s="74">
        <f>AQ83+AR83+AS83</f>
        <v>472940</v>
      </c>
      <c r="AU83" s="80">
        <f t="shared" si="79"/>
        <v>3968834</v>
      </c>
      <c r="AV83" s="17">
        <v>637461</v>
      </c>
      <c r="AW83" s="17">
        <v>394858</v>
      </c>
      <c r="AX83" s="17">
        <v>2500000</v>
      </c>
      <c r="AY83" s="98">
        <f t="shared" si="76"/>
        <v>3532319</v>
      </c>
      <c r="AZ83" s="17">
        <v>472940</v>
      </c>
      <c r="BA83" s="17">
        <v>477279</v>
      </c>
      <c r="BB83" s="17"/>
      <c r="BC83" s="98">
        <f t="shared" si="71"/>
        <v>950219</v>
      </c>
      <c r="BD83" s="80">
        <f t="shared" si="72"/>
        <v>4482538</v>
      </c>
    </row>
    <row r="84" spans="1:56" ht="17.25" thickBot="1" x14ac:dyDescent="0.3">
      <c r="A84" s="171" t="s">
        <v>117</v>
      </c>
      <c r="B84" s="173"/>
      <c r="C84" s="141">
        <f>C85+C86</f>
        <v>1463800</v>
      </c>
      <c r="D84" s="141">
        <f>D85+D86</f>
        <v>1169500</v>
      </c>
      <c r="E84" s="142">
        <f>E85+E86</f>
        <v>180000</v>
      </c>
      <c r="F84" s="143">
        <f>C84+D84+E84</f>
        <v>2813300</v>
      </c>
      <c r="G84" s="142">
        <f>G85+G86</f>
        <v>31169000</v>
      </c>
      <c r="H84" s="142">
        <f>H85+H86</f>
        <v>43187345.120633535</v>
      </c>
      <c r="I84" s="142">
        <f>I85+I86</f>
        <v>43187345.120633535</v>
      </c>
      <c r="J84" s="143">
        <f t="shared" ref="J84:J91" si="83">G84+H84</f>
        <v>74356345.120633543</v>
      </c>
      <c r="K84" s="146">
        <f t="shared" si="73"/>
        <v>77169645.120633543</v>
      </c>
      <c r="L84" s="141">
        <f>L85+L86</f>
        <v>797909.75699999998</v>
      </c>
      <c r="M84" s="141">
        <f>M85+M86</f>
        <v>498953.946</v>
      </c>
      <c r="N84" s="141">
        <f>N85+N86</f>
        <v>275308</v>
      </c>
      <c r="O84" s="143">
        <f t="shared" si="68"/>
        <v>1572171.703</v>
      </c>
      <c r="P84" s="141">
        <f>P85+P86</f>
        <v>15202846.445</v>
      </c>
      <c r="Q84" s="141">
        <f>Q85+Q86</f>
        <v>3209587.12</v>
      </c>
      <c r="R84" s="141">
        <f>R85+R86</f>
        <v>73029997.545357198</v>
      </c>
      <c r="S84" s="157">
        <f t="shared" si="69"/>
        <v>91442431.110357195</v>
      </c>
      <c r="T84" s="146">
        <f t="shared" si="70"/>
        <v>93014602.813357189</v>
      </c>
      <c r="U84" s="5">
        <f t="shared" ref="U84:AC84" si="84">U85+U86</f>
        <v>0</v>
      </c>
      <c r="V84" s="5">
        <f t="shared" si="84"/>
        <v>0</v>
      </c>
      <c r="W84" s="5">
        <f t="shared" si="84"/>
        <v>0</v>
      </c>
      <c r="X84" s="73">
        <f t="shared" si="84"/>
        <v>0</v>
      </c>
      <c r="Y84" s="5">
        <f t="shared" si="84"/>
        <v>0</v>
      </c>
      <c r="Z84" s="5">
        <f t="shared" si="84"/>
        <v>0</v>
      </c>
      <c r="AA84" s="5">
        <f t="shared" si="84"/>
        <v>0</v>
      </c>
      <c r="AB84" s="73">
        <f t="shared" si="84"/>
        <v>0</v>
      </c>
      <c r="AC84" s="80">
        <f t="shared" si="84"/>
        <v>0</v>
      </c>
      <c r="AD84" s="5">
        <f t="shared" ref="AD84:AU84" si="85">AD85+AD86</f>
        <v>0</v>
      </c>
      <c r="AE84" s="5">
        <f t="shared" si="85"/>
        <v>0</v>
      </c>
      <c r="AF84" s="5">
        <f t="shared" si="85"/>
        <v>0</v>
      </c>
      <c r="AG84" s="73">
        <f t="shared" si="85"/>
        <v>0</v>
      </c>
      <c r="AH84" s="5">
        <f t="shared" si="85"/>
        <v>0</v>
      </c>
      <c r="AI84" s="5">
        <f t="shared" si="85"/>
        <v>0</v>
      </c>
      <c r="AJ84" s="5">
        <f t="shared" si="85"/>
        <v>0</v>
      </c>
      <c r="AK84" s="73">
        <f t="shared" si="85"/>
        <v>0</v>
      </c>
      <c r="AL84" s="80">
        <f t="shared" si="85"/>
        <v>0</v>
      </c>
      <c r="AM84" s="5">
        <f t="shared" si="85"/>
        <v>0</v>
      </c>
      <c r="AN84" s="5">
        <f t="shared" si="85"/>
        <v>0</v>
      </c>
      <c r="AO84" s="5">
        <f t="shared" si="85"/>
        <v>0</v>
      </c>
      <c r="AP84" s="73">
        <f t="shared" si="85"/>
        <v>0</v>
      </c>
      <c r="AQ84" s="5">
        <f t="shared" si="85"/>
        <v>0</v>
      </c>
      <c r="AR84" s="5">
        <f t="shared" si="85"/>
        <v>0</v>
      </c>
      <c r="AS84" s="5">
        <f t="shared" si="85"/>
        <v>0</v>
      </c>
      <c r="AT84" s="73">
        <f t="shared" si="85"/>
        <v>0</v>
      </c>
      <c r="AU84" s="80">
        <f t="shared" si="85"/>
        <v>0</v>
      </c>
      <c r="AV84" s="5"/>
      <c r="AW84" s="5"/>
      <c r="AX84" s="5"/>
      <c r="AY84" s="73">
        <f t="shared" si="76"/>
        <v>0</v>
      </c>
      <c r="AZ84" s="5"/>
      <c r="BA84" s="5"/>
      <c r="BB84" s="5"/>
      <c r="BC84" s="98">
        <f t="shared" si="71"/>
        <v>0</v>
      </c>
      <c r="BD84" s="80">
        <f t="shared" si="72"/>
        <v>0</v>
      </c>
    </row>
    <row r="85" spans="1:56" ht="17.25" thickBot="1" x14ac:dyDescent="0.3">
      <c r="A85" s="88" t="s">
        <v>118</v>
      </c>
      <c r="B85" s="6" t="s">
        <v>119</v>
      </c>
      <c r="C85" s="35">
        <v>1055800</v>
      </c>
      <c r="D85" s="35">
        <v>1132100</v>
      </c>
      <c r="E85" s="35">
        <v>0</v>
      </c>
      <c r="F85" s="144">
        <f>SUM(C85:E85)</f>
        <v>2187900</v>
      </c>
      <c r="G85" s="35">
        <v>12714900</v>
      </c>
      <c r="H85" s="35">
        <v>0</v>
      </c>
      <c r="I85" s="140">
        <v>0</v>
      </c>
      <c r="J85" s="144">
        <f t="shared" si="83"/>
        <v>12714900</v>
      </c>
      <c r="K85" s="146">
        <f t="shared" si="73"/>
        <v>14902800</v>
      </c>
      <c r="L85" s="140">
        <v>795655.14</v>
      </c>
      <c r="M85" s="140">
        <v>418453.946</v>
      </c>
      <c r="N85" s="140">
        <v>185308</v>
      </c>
      <c r="O85" s="145">
        <f t="shared" si="68"/>
        <v>1399417.0860000001</v>
      </c>
      <c r="P85" s="140">
        <v>1072521.0619999999</v>
      </c>
      <c r="Q85" s="209">
        <v>0</v>
      </c>
      <c r="R85" s="140">
        <v>0</v>
      </c>
      <c r="S85" s="144">
        <f t="shared" si="69"/>
        <v>1072521.0619999999</v>
      </c>
      <c r="T85" s="146">
        <f t="shared" si="70"/>
        <v>2471938.148</v>
      </c>
      <c r="U85" s="7">
        <v>0</v>
      </c>
      <c r="V85" s="7">
        <v>0</v>
      </c>
      <c r="W85" s="7">
        <v>0</v>
      </c>
      <c r="X85" s="74">
        <f>U85+V85+W85</f>
        <v>0</v>
      </c>
      <c r="Y85" s="7">
        <v>0</v>
      </c>
      <c r="Z85" s="7">
        <v>0</v>
      </c>
      <c r="AA85" s="7">
        <v>0</v>
      </c>
      <c r="AB85" s="74">
        <f>Y85+Z85+AA85</f>
        <v>0</v>
      </c>
      <c r="AC85" s="80">
        <f>X85+AB85</f>
        <v>0</v>
      </c>
      <c r="AD85" s="7">
        <v>0</v>
      </c>
      <c r="AE85" s="7">
        <v>0</v>
      </c>
      <c r="AF85" s="7">
        <v>0</v>
      </c>
      <c r="AG85" s="74">
        <f>AD85+AE85+AF85</f>
        <v>0</v>
      </c>
      <c r="AH85" s="7">
        <v>0</v>
      </c>
      <c r="AI85" s="7">
        <v>0</v>
      </c>
      <c r="AJ85" s="7">
        <v>0</v>
      </c>
      <c r="AK85" s="74">
        <f t="shared" si="82"/>
        <v>0</v>
      </c>
      <c r="AL85" s="80">
        <f t="shared" si="78"/>
        <v>0</v>
      </c>
      <c r="AM85" s="7">
        <v>0</v>
      </c>
      <c r="AN85" s="7">
        <v>0</v>
      </c>
      <c r="AO85" s="7">
        <v>0</v>
      </c>
      <c r="AP85" s="74">
        <f>AM85+AN85+AO85</f>
        <v>0</v>
      </c>
      <c r="AQ85" s="7">
        <v>0</v>
      </c>
      <c r="AR85" s="7">
        <v>0</v>
      </c>
      <c r="AS85" s="7">
        <v>0</v>
      </c>
      <c r="AT85" s="74">
        <f>AQ85+AR85+AS85</f>
        <v>0</v>
      </c>
      <c r="AU85" s="80">
        <f>AP85+AT85</f>
        <v>0</v>
      </c>
      <c r="AV85" s="7">
        <v>0</v>
      </c>
      <c r="AW85" s="7">
        <v>0</v>
      </c>
      <c r="AX85" s="7">
        <v>0</v>
      </c>
      <c r="AY85" s="73">
        <f t="shared" si="76"/>
        <v>0</v>
      </c>
      <c r="AZ85" s="7">
        <v>0</v>
      </c>
      <c r="BA85" s="7">
        <v>0</v>
      </c>
      <c r="BB85" s="7">
        <v>0</v>
      </c>
      <c r="BC85" s="98">
        <f t="shared" si="71"/>
        <v>0</v>
      </c>
      <c r="BD85" s="80">
        <f t="shared" si="72"/>
        <v>0</v>
      </c>
    </row>
    <row r="86" spans="1:56" ht="17.25" thickBot="1" x14ac:dyDescent="0.3">
      <c r="A86" s="88" t="s">
        <v>120</v>
      </c>
      <c r="B86" s="6" t="s">
        <v>121</v>
      </c>
      <c r="C86" s="35">
        <v>408000</v>
      </c>
      <c r="D86" s="35">
        <v>37400</v>
      </c>
      <c r="E86" s="35">
        <v>180000</v>
      </c>
      <c r="F86" s="144">
        <f>SUM(C86:E86)</f>
        <v>625400</v>
      </c>
      <c r="G86" s="35">
        <v>18454100</v>
      </c>
      <c r="H86" s="35">
        <v>43187345.120633535</v>
      </c>
      <c r="I86" s="140">
        <v>43187345.120633535</v>
      </c>
      <c r="J86" s="144">
        <f t="shared" si="83"/>
        <v>61641445.120633535</v>
      </c>
      <c r="K86" s="146">
        <f t="shared" si="73"/>
        <v>62266845.120633535</v>
      </c>
      <c r="L86" s="140">
        <v>2254.6170000000002</v>
      </c>
      <c r="M86" s="140">
        <v>80500</v>
      </c>
      <c r="N86" s="140">
        <v>90000</v>
      </c>
      <c r="O86" s="145">
        <f t="shared" si="68"/>
        <v>172754.617</v>
      </c>
      <c r="P86" s="210">
        <v>14130325.382999999</v>
      </c>
      <c r="Q86" s="209">
        <v>3209587.12</v>
      </c>
      <c r="R86" s="210">
        <v>73029997.545357198</v>
      </c>
      <c r="S86" s="144">
        <f t="shared" si="69"/>
        <v>90369910.048357189</v>
      </c>
      <c r="T86" s="146">
        <f t="shared" si="70"/>
        <v>90542664.665357187</v>
      </c>
      <c r="U86" s="7">
        <v>0</v>
      </c>
      <c r="V86" s="7">
        <v>0</v>
      </c>
      <c r="W86" s="7">
        <v>0</v>
      </c>
      <c r="X86" s="74">
        <f>SUM(U86:W86)</f>
        <v>0</v>
      </c>
      <c r="Y86" s="7">
        <v>0</v>
      </c>
      <c r="Z86" s="7">
        <v>0</v>
      </c>
      <c r="AA86" s="7">
        <v>0</v>
      </c>
      <c r="AB86" s="74">
        <f>Y86+Z86+AA86</f>
        <v>0</v>
      </c>
      <c r="AC86" s="80">
        <f>X86+AB86</f>
        <v>0</v>
      </c>
      <c r="AD86" s="7">
        <v>0</v>
      </c>
      <c r="AE86" s="7">
        <v>0</v>
      </c>
      <c r="AF86" s="7">
        <v>0</v>
      </c>
      <c r="AG86" s="74">
        <f>SUM(AD86:AF86)</f>
        <v>0</v>
      </c>
      <c r="AH86" s="7">
        <v>0</v>
      </c>
      <c r="AI86" s="7">
        <v>0</v>
      </c>
      <c r="AJ86" s="7">
        <v>0</v>
      </c>
      <c r="AK86" s="74">
        <f t="shared" si="82"/>
        <v>0</v>
      </c>
      <c r="AL86" s="80">
        <f>AG86+AK86</f>
        <v>0</v>
      </c>
      <c r="AM86" s="7">
        <v>0</v>
      </c>
      <c r="AN86" s="7">
        <v>0</v>
      </c>
      <c r="AO86" s="7">
        <v>0</v>
      </c>
      <c r="AP86" s="74">
        <f>AM86+AN86+AO86</f>
        <v>0</v>
      </c>
      <c r="AQ86" s="7">
        <v>0</v>
      </c>
      <c r="AR86" s="7">
        <v>0</v>
      </c>
      <c r="AS86" s="7">
        <v>0</v>
      </c>
      <c r="AT86" s="74">
        <f>AQ86+AR86+AS86</f>
        <v>0</v>
      </c>
      <c r="AU86" s="80">
        <f>AP86+AT86</f>
        <v>0</v>
      </c>
      <c r="AV86" s="7">
        <v>0</v>
      </c>
      <c r="AW86" s="7">
        <v>0</v>
      </c>
      <c r="AX86" s="7">
        <v>0</v>
      </c>
      <c r="AY86" s="73">
        <f t="shared" si="76"/>
        <v>0</v>
      </c>
      <c r="AZ86" s="7">
        <v>0</v>
      </c>
      <c r="BA86" s="7">
        <v>0</v>
      </c>
      <c r="BB86" s="7">
        <v>0</v>
      </c>
      <c r="BC86" s="98">
        <f t="shared" si="71"/>
        <v>0</v>
      </c>
      <c r="BD86" s="80">
        <f t="shared" si="72"/>
        <v>0</v>
      </c>
    </row>
    <row r="87" spans="1:56" ht="17.25" thickBot="1" x14ac:dyDescent="0.3">
      <c r="A87" s="178" t="s">
        <v>245</v>
      </c>
      <c r="B87" s="179"/>
      <c r="C87" s="141">
        <f>C88+C89+C90+C91+C93</f>
        <v>4367800</v>
      </c>
      <c r="D87" s="141">
        <f>D88+D89+D90+D91+D93</f>
        <v>947400</v>
      </c>
      <c r="E87" s="142">
        <f>E88+E89+E90+E91+E93</f>
        <v>1757200</v>
      </c>
      <c r="F87" s="143">
        <f>C87+D87+E87</f>
        <v>7072400</v>
      </c>
      <c r="G87" s="142">
        <f>G88+G89+G90+G91+G93</f>
        <v>130691600</v>
      </c>
      <c r="H87" s="142">
        <f>H88+H89+H90+H91+H93</f>
        <v>100933555.07727098</v>
      </c>
      <c r="I87" s="142">
        <f>I88+I89+I90+I91+I93</f>
        <v>100864849.58627099</v>
      </c>
      <c r="J87" s="143">
        <f t="shared" si="83"/>
        <v>231625155.07727098</v>
      </c>
      <c r="K87" s="146">
        <f t="shared" si="73"/>
        <v>238697555.07727098</v>
      </c>
      <c r="L87" s="141">
        <f>L88+L89+L90+L91+L93</f>
        <v>5376782.4649999999</v>
      </c>
      <c r="M87" s="141">
        <f>M88+M89+M90+M91+M93</f>
        <v>978965.31200000003</v>
      </c>
      <c r="N87" s="141">
        <f>N88+N89+N90+N91+N93</f>
        <v>2599750.75</v>
      </c>
      <c r="O87" s="143">
        <f t="shared" si="68"/>
        <v>8955498.5269999988</v>
      </c>
      <c r="P87" s="141">
        <f>P88+P89+P90+P91+P93</f>
        <v>177679076.162</v>
      </c>
      <c r="Q87" s="141">
        <f>Q88+Q89+Q90+Q91+Q93</f>
        <v>24846549.196000002</v>
      </c>
      <c r="R87" s="141">
        <f>R88+R89+R90+R91+R93</f>
        <v>86603545.977000013</v>
      </c>
      <c r="S87" s="157">
        <f t="shared" si="69"/>
        <v>289129171.33500004</v>
      </c>
      <c r="T87" s="146">
        <f t="shared" si="70"/>
        <v>298084669.86200005</v>
      </c>
      <c r="U87" s="5">
        <f t="shared" ref="U87:AB87" si="86">U88+U89+U90+U91+U92+U93</f>
        <v>7308683</v>
      </c>
      <c r="V87" s="5">
        <f t="shared" si="86"/>
        <v>2546139</v>
      </c>
      <c r="W87" s="5">
        <f t="shared" si="86"/>
        <v>3529998</v>
      </c>
      <c r="X87" s="5">
        <f t="shared" si="86"/>
        <v>13384820</v>
      </c>
      <c r="Y87" s="5">
        <f t="shared" si="86"/>
        <v>239166974</v>
      </c>
      <c r="Z87" s="5">
        <f t="shared" si="86"/>
        <v>23141375</v>
      </c>
      <c r="AA87" s="5">
        <f t="shared" si="86"/>
        <v>134981276</v>
      </c>
      <c r="AB87" s="5">
        <f t="shared" si="86"/>
        <v>397289625</v>
      </c>
      <c r="AC87" s="5">
        <f>X87+AB87</f>
        <v>410674445</v>
      </c>
      <c r="AD87" s="5">
        <f t="shared" ref="AD87:AK87" si="87">AD88+AD89+AD90+AD91+AD92+AD93</f>
        <v>7030794</v>
      </c>
      <c r="AE87" s="5">
        <f t="shared" si="87"/>
        <v>3258476</v>
      </c>
      <c r="AF87" s="5">
        <f t="shared" si="87"/>
        <v>3830160</v>
      </c>
      <c r="AG87" s="5">
        <f t="shared" si="87"/>
        <v>14119430</v>
      </c>
      <c r="AH87" s="5">
        <f t="shared" si="87"/>
        <v>253601023</v>
      </c>
      <c r="AI87" s="5">
        <f t="shared" si="87"/>
        <v>7453165</v>
      </c>
      <c r="AJ87" s="5">
        <f t="shared" si="87"/>
        <v>84707257.998999998</v>
      </c>
      <c r="AK87" s="5">
        <f t="shared" si="87"/>
        <v>345761445.99900001</v>
      </c>
      <c r="AL87" s="5">
        <f>AG87+AK87</f>
        <v>359880875.99900001</v>
      </c>
      <c r="AM87" s="5">
        <f>AM88+AM89+AM90+AM91+AM92+AM93</f>
        <v>7505453</v>
      </c>
      <c r="AN87" s="5">
        <f>AN88+AN89+AN90+AN91+AN92+AN93</f>
        <v>3258476</v>
      </c>
      <c r="AO87" s="5">
        <f>AO88+AO89+AO90+AO91+AO92+AO93</f>
        <v>3830161</v>
      </c>
      <c r="AP87" s="73">
        <f>AM87+AN87+AO87</f>
        <v>14594090</v>
      </c>
      <c r="AQ87" s="5">
        <f>AQ88+AQ89+AQ90+AQ91+AQ92+AQ93</f>
        <v>264297178</v>
      </c>
      <c r="AR87" s="5">
        <f>AR88+AR89+AR90+AR91+AR92+AR93</f>
        <v>38679581</v>
      </c>
      <c r="AS87" s="5">
        <f>AS88+AS89+AS90+AS91+AS92+AS93</f>
        <v>151361000</v>
      </c>
      <c r="AT87" s="73">
        <f>AQ87+AR87+AS87</f>
        <v>454337759</v>
      </c>
      <c r="AU87" s="80">
        <f>AP87+AT87</f>
        <v>468931849</v>
      </c>
      <c r="AV87" s="5">
        <f>AV88+AV89+AV90+AV91+AV92+AV93</f>
        <v>7814816</v>
      </c>
      <c r="AW87" s="5">
        <f>AW88+AW89+AW90+AW91+AW92+AW93</f>
        <v>3258476</v>
      </c>
      <c r="AX87" s="5">
        <f>AX88+AX89+AX90+AX91+AX92+AX93</f>
        <v>3830160</v>
      </c>
      <c r="AY87" s="73">
        <f t="shared" si="76"/>
        <v>14903452</v>
      </c>
      <c r="AZ87" s="5">
        <f>AZ88+AZ89+AZ90+AZ91+AZ92+AZ93</f>
        <v>366006495</v>
      </c>
      <c r="BA87" s="5">
        <f>BA88+BA89+BA90+BA91+BA92+BA93</f>
        <v>38533890</v>
      </c>
      <c r="BB87" s="5">
        <f>BB88+BB89+BB90+BB91+BB92+BB93</f>
        <v>58291000</v>
      </c>
      <c r="BC87" s="73">
        <f t="shared" si="71"/>
        <v>462831385</v>
      </c>
      <c r="BD87" s="80">
        <f t="shared" si="72"/>
        <v>477734837</v>
      </c>
    </row>
    <row r="88" spans="1:56" ht="17.25" thickBot="1" x14ac:dyDescent="0.3">
      <c r="A88" s="88">
        <v>114</v>
      </c>
      <c r="B88" s="6" t="s">
        <v>246</v>
      </c>
      <c r="C88" s="35">
        <v>660200</v>
      </c>
      <c r="D88" s="35">
        <v>757800</v>
      </c>
      <c r="E88" s="35">
        <v>0</v>
      </c>
      <c r="F88" s="144">
        <f>SUM(C88:E88)</f>
        <v>1418000</v>
      </c>
      <c r="G88" s="35">
        <v>1745000</v>
      </c>
      <c r="H88" s="35">
        <v>0</v>
      </c>
      <c r="I88" s="35">
        <v>0</v>
      </c>
      <c r="J88" s="144">
        <f t="shared" si="83"/>
        <v>1745000</v>
      </c>
      <c r="K88" s="146">
        <f t="shared" si="73"/>
        <v>3163000</v>
      </c>
      <c r="L88" s="140">
        <v>1281654.0769999998</v>
      </c>
      <c r="M88" s="140">
        <v>835765.31200000003</v>
      </c>
      <c r="N88" s="140">
        <v>0</v>
      </c>
      <c r="O88" s="145">
        <f t="shared" si="68"/>
        <v>2117419.389</v>
      </c>
      <c r="P88" s="140">
        <v>1064034.777</v>
      </c>
      <c r="Q88" s="209">
        <v>0</v>
      </c>
      <c r="R88" s="140">
        <v>0</v>
      </c>
      <c r="S88" s="144">
        <f t="shared" si="69"/>
        <v>1064034.777</v>
      </c>
      <c r="T88" s="146">
        <f t="shared" si="70"/>
        <v>3181454.1660000002</v>
      </c>
      <c r="U88" s="7">
        <v>2435229</v>
      </c>
      <c r="V88" s="7">
        <v>2053339</v>
      </c>
      <c r="W88" s="7">
        <v>240204</v>
      </c>
      <c r="X88" s="74">
        <f t="shared" ref="X88:X93" si="88">U88+V88+W88</f>
        <v>4728772</v>
      </c>
      <c r="Y88" s="7">
        <v>3050000</v>
      </c>
      <c r="Z88" s="7">
        <v>0</v>
      </c>
      <c r="AA88" s="7">
        <v>0</v>
      </c>
      <c r="AB88" s="74">
        <f t="shared" ref="AB88:AB93" si="89">SUM(Y88:AA88)</f>
        <v>3050000</v>
      </c>
      <c r="AC88" s="80">
        <f>X88+AB88</f>
        <v>7778772</v>
      </c>
      <c r="AD88" s="28">
        <v>1988211</v>
      </c>
      <c r="AE88" s="28">
        <v>2585664</v>
      </c>
      <c r="AF88" s="28">
        <v>240204</v>
      </c>
      <c r="AG88" s="74">
        <f t="shared" ref="AG88:AG93" si="90">AD88+AE88+AF88</f>
        <v>4814079</v>
      </c>
      <c r="AH88" s="28">
        <v>4601779</v>
      </c>
      <c r="AI88" s="7">
        <v>0</v>
      </c>
      <c r="AJ88" s="7">
        <v>0</v>
      </c>
      <c r="AK88" s="74">
        <f t="shared" ref="AK88:AK93" si="91">SUM(AH88:AJ88)</f>
        <v>4601779</v>
      </c>
      <c r="AL88" s="80">
        <f t="shared" si="78"/>
        <v>9415858</v>
      </c>
      <c r="AM88" s="7">
        <v>2117785</v>
      </c>
      <c r="AN88" s="7">
        <v>2585663</v>
      </c>
      <c r="AO88" s="7">
        <v>240204</v>
      </c>
      <c r="AP88" s="98">
        <f t="shared" ref="AP88:AP93" si="92">AM88+AN88+AO88</f>
        <v>4943652</v>
      </c>
      <c r="AQ88" s="7">
        <v>2500000</v>
      </c>
      <c r="AR88" s="7">
        <v>0</v>
      </c>
      <c r="AS88" s="7">
        <v>0</v>
      </c>
      <c r="AT88" s="74">
        <f t="shared" ref="AT88:AT93" si="93">SUM(AQ88:AS88)</f>
        <v>2500000</v>
      </c>
      <c r="AU88" s="80">
        <f>AP88+AT88</f>
        <v>7443652</v>
      </c>
      <c r="AV88" s="17">
        <v>2202236</v>
      </c>
      <c r="AW88" s="17">
        <v>2585663</v>
      </c>
      <c r="AX88" s="17">
        <v>240204</v>
      </c>
      <c r="AY88" s="98">
        <f t="shared" si="76"/>
        <v>5028103</v>
      </c>
      <c r="AZ88" s="17">
        <v>0</v>
      </c>
      <c r="BA88" s="17">
        <v>0</v>
      </c>
      <c r="BB88" s="17">
        <v>0</v>
      </c>
      <c r="BC88" s="98">
        <f t="shared" si="71"/>
        <v>0</v>
      </c>
      <c r="BD88" s="80">
        <f t="shared" si="72"/>
        <v>5028103</v>
      </c>
    </row>
    <row r="89" spans="1:56" ht="33" customHeight="1" thickBot="1" x14ac:dyDescent="0.3">
      <c r="A89" s="88">
        <v>115</v>
      </c>
      <c r="B89" s="6" t="s">
        <v>273</v>
      </c>
      <c r="C89" s="35">
        <v>141000</v>
      </c>
      <c r="D89" s="35">
        <v>10500</v>
      </c>
      <c r="E89" s="35">
        <v>182200</v>
      </c>
      <c r="F89" s="144">
        <f>SUM(C89:E89)</f>
        <v>333700</v>
      </c>
      <c r="G89" s="35">
        <v>29446800</v>
      </c>
      <c r="H89" s="35">
        <v>40498563.183271006</v>
      </c>
      <c r="I89" s="35">
        <v>40498563.183271006</v>
      </c>
      <c r="J89" s="144">
        <f t="shared" si="83"/>
        <v>69945363.183271006</v>
      </c>
      <c r="K89" s="146">
        <f t="shared" si="73"/>
        <v>70279063.183271006</v>
      </c>
      <c r="L89" s="140">
        <v>103572.17</v>
      </c>
      <c r="M89" s="140">
        <v>22200</v>
      </c>
      <c r="N89" s="140">
        <v>1065330</v>
      </c>
      <c r="O89" s="145">
        <f t="shared" si="68"/>
        <v>1191102.17</v>
      </c>
      <c r="P89" s="140">
        <v>26128773.52</v>
      </c>
      <c r="Q89" s="209">
        <v>11300769.291000001</v>
      </c>
      <c r="R89" s="140">
        <v>11072184.909</v>
      </c>
      <c r="S89" s="144">
        <f t="shared" si="69"/>
        <v>48501727.720000006</v>
      </c>
      <c r="T89" s="146">
        <f t="shared" si="70"/>
        <v>49692829.890000008</v>
      </c>
      <c r="U89" s="7">
        <v>3601127</v>
      </c>
      <c r="V89" s="7">
        <v>143000</v>
      </c>
      <c r="W89" s="7">
        <v>2128156</v>
      </c>
      <c r="X89" s="74">
        <f t="shared" si="88"/>
        <v>5872283</v>
      </c>
      <c r="Y89" s="7">
        <v>20219506</v>
      </c>
      <c r="Z89" s="7">
        <v>22497452</v>
      </c>
      <c r="AA89" s="7">
        <v>4896206</v>
      </c>
      <c r="AB89" s="74">
        <f t="shared" si="89"/>
        <v>47613164</v>
      </c>
      <c r="AC89" s="80">
        <f>X89+AB89</f>
        <v>53485447</v>
      </c>
      <c r="AD89" s="30">
        <v>4412844</v>
      </c>
      <c r="AE89" s="30">
        <v>153000</v>
      </c>
      <c r="AF89" s="30">
        <v>2545656</v>
      </c>
      <c r="AG89" s="74">
        <f t="shared" si="90"/>
        <v>7111500</v>
      </c>
      <c r="AH89" s="30">
        <v>29089814</v>
      </c>
      <c r="AI89" s="30">
        <v>5573169</v>
      </c>
      <c r="AJ89" s="30">
        <v>8647000</v>
      </c>
      <c r="AK89" s="74">
        <f t="shared" si="91"/>
        <v>43309983</v>
      </c>
      <c r="AL89" s="80">
        <f>AG89+AK89</f>
        <v>50421483</v>
      </c>
      <c r="AM89" s="7">
        <v>4714535</v>
      </c>
      <c r="AN89" s="7">
        <v>153000</v>
      </c>
      <c r="AO89" s="7">
        <v>2545657</v>
      </c>
      <c r="AP89" s="98">
        <f t="shared" si="92"/>
        <v>7413192</v>
      </c>
      <c r="AQ89" s="7">
        <v>15596663</v>
      </c>
      <c r="AR89" s="7">
        <v>36799586</v>
      </c>
      <c r="AS89" s="7">
        <v>14940000</v>
      </c>
      <c r="AT89" s="74">
        <f t="shared" si="93"/>
        <v>67336249</v>
      </c>
      <c r="AU89" s="80">
        <f>AP89+AT89</f>
        <v>74749441</v>
      </c>
      <c r="AV89" s="17">
        <v>4911164</v>
      </c>
      <c r="AW89" s="17">
        <v>153000</v>
      </c>
      <c r="AX89" s="17">
        <v>2545656</v>
      </c>
      <c r="AY89" s="98">
        <f t="shared" si="76"/>
        <v>7609820</v>
      </c>
      <c r="AZ89" s="17">
        <v>26539506</v>
      </c>
      <c r="BA89" s="17">
        <v>36653895</v>
      </c>
      <c r="BB89" s="17">
        <v>6000000</v>
      </c>
      <c r="BC89" s="98">
        <f t="shared" si="71"/>
        <v>69193401</v>
      </c>
      <c r="BD89" s="80">
        <f t="shared" si="72"/>
        <v>76803221</v>
      </c>
    </row>
    <row r="90" spans="1:56" ht="17.25" thickBot="1" x14ac:dyDescent="0.3">
      <c r="A90" s="88" t="s">
        <v>124</v>
      </c>
      <c r="B90" s="6" t="s">
        <v>125</v>
      </c>
      <c r="C90" s="35">
        <v>3364000</v>
      </c>
      <c r="D90" s="35">
        <v>148400</v>
      </c>
      <c r="E90" s="35">
        <v>829300</v>
      </c>
      <c r="F90" s="144">
        <f>SUM(C90:E90)</f>
        <v>4341700</v>
      </c>
      <c r="G90" s="35">
        <v>1447100</v>
      </c>
      <c r="H90" s="35">
        <v>4535429.3359999992</v>
      </c>
      <c r="I90" s="35">
        <v>4535429.3359999992</v>
      </c>
      <c r="J90" s="144">
        <f t="shared" si="83"/>
        <v>5982529.3359999992</v>
      </c>
      <c r="K90" s="146">
        <f t="shared" si="73"/>
        <v>10324229.335999999</v>
      </c>
      <c r="L90" s="140">
        <v>3790820.4190000002</v>
      </c>
      <c r="M90" s="140">
        <v>76000</v>
      </c>
      <c r="N90" s="140">
        <v>900341</v>
      </c>
      <c r="O90" s="145">
        <f t="shared" si="68"/>
        <v>4767161.4189999998</v>
      </c>
      <c r="P90" s="140">
        <v>1327771.7039999999</v>
      </c>
      <c r="Q90" s="209">
        <v>12455572.154999999</v>
      </c>
      <c r="R90" s="140">
        <v>491630.91</v>
      </c>
      <c r="S90" s="144">
        <f t="shared" si="69"/>
        <v>14274974.768999999</v>
      </c>
      <c r="T90" s="146">
        <f t="shared" si="70"/>
        <v>19042136.188000001</v>
      </c>
      <c r="U90" s="7">
        <v>0</v>
      </c>
      <c r="V90" s="7">
        <v>0</v>
      </c>
      <c r="W90" s="7">
        <v>0</v>
      </c>
      <c r="X90" s="74">
        <f t="shared" si="88"/>
        <v>0</v>
      </c>
      <c r="Y90" s="7">
        <v>0</v>
      </c>
      <c r="Z90" s="7">
        <v>0</v>
      </c>
      <c r="AA90" s="7">
        <v>0</v>
      </c>
      <c r="AB90" s="74">
        <f t="shared" si="89"/>
        <v>0</v>
      </c>
      <c r="AC90" s="80">
        <f>AB90+X90</f>
        <v>0</v>
      </c>
      <c r="AD90" s="7">
        <v>0</v>
      </c>
      <c r="AE90" s="7">
        <v>0</v>
      </c>
      <c r="AF90" s="7">
        <v>0</v>
      </c>
      <c r="AG90" s="74">
        <f t="shared" si="90"/>
        <v>0</v>
      </c>
      <c r="AH90" s="7">
        <v>0</v>
      </c>
      <c r="AI90" s="7">
        <v>0</v>
      </c>
      <c r="AJ90" s="7">
        <v>0</v>
      </c>
      <c r="AK90" s="74">
        <f t="shared" si="91"/>
        <v>0</v>
      </c>
      <c r="AL90" s="80">
        <f>AK90+AG90</f>
        <v>0</v>
      </c>
      <c r="AM90" s="7">
        <v>0</v>
      </c>
      <c r="AN90" s="7">
        <v>0</v>
      </c>
      <c r="AO90" s="7">
        <v>0</v>
      </c>
      <c r="AP90" s="98">
        <f t="shared" si="92"/>
        <v>0</v>
      </c>
      <c r="AQ90" s="7">
        <v>0</v>
      </c>
      <c r="AR90" s="7">
        <v>0</v>
      </c>
      <c r="AS90" s="7">
        <v>0</v>
      </c>
      <c r="AT90" s="74">
        <f t="shared" si="93"/>
        <v>0</v>
      </c>
      <c r="AU90" s="80">
        <f>AT90+AP90</f>
        <v>0</v>
      </c>
      <c r="AV90" s="17">
        <v>0</v>
      </c>
      <c r="AW90" s="17">
        <v>0</v>
      </c>
      <c r="AX90" s="17">
        <v>0</v>
      </c>
      <c r="AY90" s="98">
        <f t="shared" si="76"/>
        <v>0</v>
      </c>
      <c r="AZ90" s="17">
        <v>0</v>
      </c>
      <c r="BA90" s="17">
        <v>0</v>
      </c>
      <c r="BB90" s="17">
        <v>0</v>
      </c>
      <c r="BC90" s="98">
        <f t="shared" si="71"/>
        <v>0</v>
      </c>
      <c r="BD90" s="80">
        <f t="shared" si="72"/>
        <v>0</v>
      </c>
    </row>
    <row r="91" spans="1:56" ht="17.25" thickBot="1" x14ac:dyDescent="0.3">
      <c r="A91" s="88" t="s">
        <v>129</v>
      </c>
      <c r="B91" s="6" t="s">
        <v>260</v>
      </c>
      <c r="C91" s="35">
        <v>147900</v>
      </c>
      <c r="D91" s="35">
        <v>25400</v>
      </c>
      <c r="E91" s="35">
        <v>715900</v>
      </c>
      <c r="F91" s="144">
        <f>SUM(C91:E91)</f>
        <v>889200</v>
      </c>
      <c r="G91" s="35">
        <v>81382100</v>
      </c>
      <c r="H91" s="35">
        <v>48880501.066999994</v>
      </c>
      <c r="I91" s="35">
        <v>48880501.066999994</v>
      </c>
      <c r="J91" s="144">
        <f t="shared" si="83"/>
        <v>130262601.067</v>
      </c>
      <c r="K91" s="146">
        <f t="shared" si="73"/>
        <v>131151801.067</v>
      </c>
      <c r="L91" s="140">
        <v>108960.845</v>
      </c>
      <c r="M91" s="30">
        <v>24000</v>
      </c>
      <c r="N91" s="140">
        <v>424267.25</v>
      </c>
      <c r="O91" s="145">
        <f t="shared" si="68"/>
        <v>557228.09499999997</v>
      </c>
      <c r="P91" s="140">
        <v>113167305.92300001</v>
      </c>
      <c r="Q91" s="209">
        <v>1090207.75</v>
      </c>
      <c r="R91" s="140">
        <v>75039730.158000007</v>
      </c>
      <c r="S91" s="144">
        <f t="shared" si="69"/>
        <v>189297243.83100003</v>
      </c>
      <c r="T91" s="146">
        <f t="shared" si="70"/>
        <v>189854471.92600003</v>
      </c>
      <c r="U91" s="7">
        <v>243858</v>
      </c>
      <c r="V91" s="7">
        <v>31600</v>
      </c>
      <c r="W91" s="7">
        <v>555875</v>
      </c>
      <c r="X91" s="74">
        <f t="shared" si="88"/>
        <v>831333</v>
      </c>
      <c r="Y91" s="7">
        <v>41298547</v>
      </c>
      <c r="Z91" s="7">
        <v>643923</v>
      </c>
      <c r="AA91" s="7">
        <v>64991946</v>
      </c>
      <c r="AB91" s="74">
        <f t="shared" si="89"/>
        <v>106934416</v>
      </c>
      <c r="AC91" s="80">
        <f>X91+AB91</f>
        <v>107765749</v>
      </c>
      <c r="AD91" s="30">
        <v>161877</v>
      </c>
      <c r="AE91" s="30">
        <v>36600</v>
      </c>
      <c r="AF91" s="30">
        <v>575875</v>
      </c>
      <c r="AG91" s="74">
        <f t="shared" si="90"/>
        <v>774352</v>
      </c>
      <c r="AH91" s="30">
        <v>61515308</v>
      </c>
      <c r="AI91" s="7">
        <v>0</v>
      </c>
      <c r="AJ91" s="30">
        <v>28470257.999000002</v>
      </c>
      <c r="AK91" s="74">
        <f t="shared" si="91"/>
        <v>89985565.998999998</v>
      </c>
      <c r="AL91" s="80">
        <f t="shared" ref="AL91:AL98" si="94">AG91+AK91</f>
        <v>90759917.998999998</v>
      </c>
      <c r="AM91" s="7">
        <v>173208</v>
      </c>
      <c r="AN91" s="7">
        <v>36600</v>
      </c>
      <c r="AO91" s="7">
        <v>575875</v>
      </c>
      <c r="AP91" s="98">
        <f t="shared" si="92"/>
        <v>785683</v>
      </c>
      <c r="AQ91" s="7">
        <v>55717170</v>
      </c>
      <c r="AR91" s="7">
        <v>0</v>
      </c>
      <c r="AS91" s="7">
        <v>111826000</v>
      </c>
      <c r="AT91" s="74">
        <f t="shared" si="93"/>
        <v>167543170</v>
      </c>
      <c r="AU91" s="80">
        <f>AP91+AT91</f>
        <v>168328853</v>
      </c>
      <c r="AV91" s="17">
        <v>180594</v>
      </c>
      <c r="AW91" s="17">
        <v>36600</v>
      </c>
      <c r="AX91" s="17">
        <v>575875</v>
      </c>
      <c r="AY91" s="98">
        <f t="shared" si="76"/>
        <v>793069</v>
      </c>
      <c r="AZ91" s="17">
        <v>59184707</v>
      </c>
      <c r="BA91" s="17">
        <v>0</v>
      </c>
      <c r="BB91" s="19">
        <v>41291000</v>
      </c>
      <c r="BC91" s="98">
        <f t="shared" si="71"/>
        <v>100475707</v>
      </c>
      <c r="BD91" s="80">
        <f t="shared" si="72"/>
        <v>101268776</v>
      </c>
    </row>
    <row r="92" spans="1:56" ht="17.25" thickBot="1" x14ac:dyDescent="0.3">
      <c r="A92" s="93">
        <v>116</v>
      </c>
      <c r="B92" s="6" t="s">
        <v>244</v>
      </c>
      <c r="C92" s="35"/>
      <c r="D92" s="35"/>
      <c r="E92" s="35"/>
      <c r="F92" s="144"/>
      <c r="G92" s="35"/>
      <c r="H92" s="35"/>
      <c r="I92" s="35"/>
      <c r="J92" s="144"/>
      <c r="K92" s="146"/>
      <c r="L92" s="30"/>
      <c r="M92" s="30"/>
      <c r="N92" s="30"/>
      <c r="O92" s="145">
        <f t="shared" si="68"/>
        <v>0</v>
      </c>
      <c r="P92" s="30"/>
      <c r="Q92" s="30"/>
      <c r="R92" s="30"/>
      <c r="S92" s="144">
        <f t="shared" si="69"/>
        <v>0</v>
      </c>
      <c r="T92" s="146">
        <f t="shared" si="70"/>
        <v>0</v>
      </c>
      <c r="U92" s="7">
        <v>817820</v>
      </c>
      <c r="V92" s="7">
        <v>288200</v>
      </c>
      <c r="W92" s="7">
        <v>316013</v>
      </c>
      <c r="X92" s="74">
        <f t="shared" si="88"/>
        <v>1422033</v>
      </c>
      <c r="Y92" s="7">
        <v>97179806</v>
      </c>
      <c r="Z92" s="7">
        <v>0</v>
      </c>
      <c r="AA92" s="7">
        <v>35922594</v>
      </c>
      <c r="AB92" s="74">
        <f t="shared" si="89"/>
        <v>133102400</v>
      </c>
      <c r="AC92" s="80">
        <f>X92+AB92</f>
        <v>134524433</v>
      </c>
      <c r="AD92" s="30">
        <v>286918</v>
      </c>
      <c r="AE92" s="30">
        <v>448212</v>
      </c>
      <c r="AF92" s="30">
        <v>392000</v>
      </c>
      <c r="AG92" s="74">
        <f t="shared" si="90"/>
        <v>1127130</v>
      </c>
      <c r="AH92" s="30">
        <v>102842011</v>
      </c>
      <c r="AI92" s="30">
        <v>1879996</v>
      </c>
      <c r="AJ92" s="30">
        <v>28645000</v>
      </c>
      <c r="AK92" s="74">
        <f t="shared" si="91"/>
        <v>133367007</v>
      </c>
      <c r="AL92" s="80">
        <f t="shared" si="94"/>
        <v>134494137</v>
      </c>
      <c r="AM92" s="7">
        <v>306586</v>
      </c>
      <c r="AN92" s="7">
        <v>448213</v>
      </c>
      <c r="AO92" s="7">
        <v>392000</v>
      </c>
      <c r="AP92" s="98">
        <f t="shared" si="92"/>
        <v>1146799</v>
      </c>
      <c r="AQ92" s="7">
        <v>110396492</v>
      </c>
      <c r="AR92" s="7">
        <v>1879995</v>
      </c>
      <c r="AS92" s="7">
        <v>16000000</v>
      </c>
      <c r="AT92" s="74">
        <f t="shared" si="93"/>
        <v>128276487</v>
      </c>
      <c r="AU92" s="80">
        <f>AT92+AP92</f>
        <v>129423286</v>
      </c>
      <c r="AV92" s="17">
        <v>319405</v>
      </c>
      <c r="AW92" s="17">
        <v>448213</v>
      </c>
      <c r="AX92" s="17">
        <v>392000</v>
      </c>
      <c r="AY92" s="98">
        <f t="shared" si="76"/>
        <v>1159618</v>
      </c>
      <c r="AZ92" s="7">
        <v>164759215</v>
      </c>
      <c r="BA92" s="7">
        <v>1879995</v>
      </c>
      <c r="BB92" s="7">
        <v>8000000</v>
      </c>
      <c r="BC92" s="98">
        <f t="shared" si="71"/>
        <v>174639210</v>
      </c>
      <c r="BD92" s="80">
        <f t="shared" si="72"/>
        <v>175798828</v>
      </c>
    </row>
    <row r="93" spans="1:56" ht="17.25" thickBot="1" x14ac:dyDescent="0.3">
      <c r="A93" s="89" t="s">
        <v>131</v>
      </c>
      <c r="B93" s="6" t="s">
        <v>261</v>
      </c>
      <c r="C93" s="35">
        <v>54700</v>
      </c>
      <c r="D93" s="35">
        <v>5300</v>
      </c>
      <c r="E93" s="35">
        <v>29800</v>
      </c>
      <c r="F93" s="144">
        <f>SUM(C93:E93)</f>
        <v>89800</v>
      </c>
      <c r="G93" s="35">
        <v>16670599.999999998</v>
      </c>
      <c r="H93" s="35">
        <v>7019061.4909999995</v>
      </c>
      <c r="I93" s="35">
        <v>6950356</v>
      </c>
      <c r="J93" s="144">
        <f>G93+H93</f>
        <v>23689661.490999997</v>
      </c>
      <c r="K93" s="149">
        <f>F93+J93</f>
        <v>23779461.490999997</v>
      </c>
      <c r="L93" s="140">
        <v>91774.953999999998</v>
      </c>
      <c r="M93" s="30">
        <v>21000</v>
      </c>
      <c r="N93" s="140">
        <v>209812.5</v>
      </c>
      <c r="O93" s="145">
        <f t="shared" si="68"/>
        <v>322587.45400000003</v>
      </c>
      <c r="P93" s="140">
        <v>35991190.238000005</v>
      </c>
      <c r="Q93" s="30">
        <v>0</v>
      </c>
      <c r="R93" s="30">
        <v>0</v>
      </c>
      <c r="S93" s="144">
        <f t="shared" si="69"/>
        <v>35991190.238000005</v>
      </c>
      <c r="T93" s="146">
        <f t="shared" si="70"/>
        <v>36313777.692000009</v>
      </c>
      <c r="U93" s="7">
        <v>210649</v>
      </c>
      <c r="V93" s="7">
        <v>30000</v>
      </c>
      <c r="W93" s="7">
        <v>289750</v>
      </c>
      <c r="X93" s="74">
        <f t="shared" si="88"/>
        <v>530399</v>
      </c>
      <c r="Y93" s="7">
        <v>77419115</v>
      </c>
      <c r="Z93" s="7">
        <v>0</v>
      </c>
      <c r="AA93" s="7">
        <v>29170530</v>
      </c>
      <c r="AB93" s="74">
        <f t="shared" si="89"/>
        <v>106589645</v>
      </c>
      <c r="AC93" s="80">
        <f>X93+AB93</f>
        <v>107120044</v>
      </c>
      <c r="AD93" s="35">
        <v>180944</v>
      </c>
      <c r="AE93" s="35">
        <v>35000</v>
      </c>
      <c r="AF93" s="35">
        <v>76425</v>
      </c>
      <c r="AG93" s="74">
        <f t="shared" si="90"/>
        <v>292369</v>
      </c>
      <c r="AH93" s="35">
        <v>55552111</v>
      </c>
      <c r="AI93" s="7">
        <v>0</v>
      </c>
      <c r="AJ93" s="35">
        <v>18945000</v>
      </c>
      <c r="AK93" s="74">
        <f t="shared" si="91"/>
        <v>74497111</v>
      </c>
      <c r="AL93" s="80">
        <f t="shared" si="94"/>
        <v>74789480</v>
      </c>
      <c r="AM93" s="19">
        <v>193339</v>
      </c>
      <c r="AN93" s="19">
        <v>35000</v>
      </c>
      <c r="AO93" s="19">
        <v>76425</v>
      </c>
      <c r="AP93" s="98">
        <f t="shared" si="92"/>
        <v>304764</v>
      </c>
      <c r="AQ93" s="7">
        <v>80086853</v>
      </c>
      <c r="AR93" s="7">
        <v>0</v>
      </c>
      <c r="AS93" s="19">
        <v>8595000</v>
      </c>
      <c r="AT93" s="74">
        <f t="shared" si="93"/>
        <v>88681853</v>
      </c>
      <c r="AU93" s="80">
        <f t="shared" ref="AU93:AU98" si="95">AP93+AT93</f>
        <v>88986617</v>
      </c>
      <c r="AV93" s="17">
        <v>201417</v>
      </c>
      <c r="AW93" s="17">
        <v>35000</v>
      </c>
      <c r="AX93" s="17">
        <v>76425</v>
      </c>
      <c r="AY93" s="98">
        <f t="shared" si="76"/>
        <v>312842</v>
      </c>
      <c r="AZ93" s="7">
        <v>115523067</v>
      </c>
      <c r="BA93" s="7">
        <v>0</v>
      </c>
      <c r="BB93" s="19">
        <v>3000000</v>
      </c>
      <c r="BC93" s="98">
        <f t="shared" si="71"/>
        <v>118523067</v>
      </c>
      <c r="BD93" s="80">
        <f t="shared" si="72"/>
        <v>118835909</v>
      </c>
    </row>
    <row r="94" spans="1:56" ht="17.25" thickBot="1" x14ac:dyDescent="0.3">
      <c r="A94" s="171" t="s">
        <v>183</v>
      </c>
      <c r="B94" s="172"/>
      <c r="C94" s="141">
        <f>C95+C96+C97</f>
        <v>606500</v>
      </c>
      <c r="D94" s="141">
        <f>D95+D96+D97</f>
        <v>1607100</v>
      </c>
      <c r="E94" s="142">
        <f>E95+E96+E97</f>
        <v>5761400</v>
      </c>
      <c r="F94" s="143">
        <f>C94+D94+E94</f>
        <v>7975000</v>
      </c>
      <c r="G94" s="142">
        <f>G95+G96+G97</f>
        <v>25279900</v>
      </c>
      <c r="H94" s="142">
        <f>H95+H96+H97</f>
        <v>0</v>
      </c>
      <c r="I94" s="142">
        <f>I95+I96+I97</f>
        <v>0</v>
      </c>
      <c r="J94" s="143">
        <f>G94+H94+I94</f>
        <v>25279900</v>
      </c>
      <c r="K94" s="146">
        <f>F94+J94</f>
        <v>33254900</v>
      </c>
      <c r="L94" s="141">
        <f>L95+L96+L97</f>
        <v>916710.30500000017</v>
      </c>
      <c r="M94" s="141">
        <f>M95+M96+M97</f>
        <v>1728464.713</v>
      </c>
      <c r="N94" s="141">
        <f>N95+N96+N97</f>
        <v>5066550.8130000001</v>
      </c>
      <c r="O94" s="143">
        <f t="shared" si="68"/>
        <v>7711725.8310000002</v>
      </c>
      <c r="P94" s="141">
        <f>P95+P96+P97</f>
        <v>23512998.541999999</v>
      </c>
      <c r="Q94" s="141">
        <f>Q95+Q96+Q97</f>
        <v>0</v>
      </c>
      <c r="R94" s="141">
        <f>R95+R96+R97</f>
        <v>0</v>
      </c>
      <c r="S94" s="157">
        <f t="shared" si="69"/>
        <v>23512998.541999999</v>
      </c>
      <c r="T94" s="146">
        <f t="shared" si="70"/>
        <v>31224724.373</v>
      </c>
      <c r="U94" s="5">
        <f>U95+U96+U97</f>
        <v>942252</v>
      </c>
      <c r="V94" s="5">
        <f>V95+V96+V97</f>
        <v>2249270</v>
      </c>
      <c r="W94" s="5">
        <f>W95+W96+W97+W98</f>
        <v>7727055</v>
      </c>
      <c r="X94" s="5">
        <f>U94+V94+W94</f>
        <v>10918577</v>
      </c>
      <c r="Y94" s="5">
        <f>Y95+Y96+Y97+Y98</f>
        <v>32883378</v>
      </c>
      <c r="Z94" s="5">
        <f>Z95+Z96+Z97+Z98</f>
        <v>0</v>
      </c>
      <c r="AA94" s="5">
        <f>AA95+AA96+AA97+AA98</f>
        <v>0</v>
      </c>
      <c r="AB94" s="5">
        <f>Y94+Z94+AA94</f>
        <v>32883378</v>
      </c>
      <c r="AC94" s="5">
        <f>X94+AB94</f>
        <v>43801955</v>
      </c>
      <c r="AD94" s="5">
        <f>AD95+AD96+AD97+AD98</f>
        <v>915558</v>
      </c>
      <c r="AE94" s="5">
        <f>AE95+AE96+AE97+AE98</f>
        <v>2575870</v>
      </c>
      <c r="AF94" s="5">
        <f>AF95+AF96+AF97+AF98</f>
        <v>7400455</v>
      </c>
      <c r="AG94" s="5">
        <f>AD94+AE94+AF94</f>
        <v>10891883</v>
      </c>
      <c r="AH94" s="5">
        <f>AH95+AH96+AH97+AH98</f>
        <v>23923409</v>
      </c>
      <c r="AI94" s="5">
        <f>AI95+AI96+AI97+AI98</f>
        <v>0</v>
      </c>
      <c r="AJ94" s="5">
        <f>AJ95+AJ96+AJ97+AJ98</f>
        <v>0</v>
      </c>
      <c r="AK94" s="5">
        <f>AH94+AI94+AJ94</f>
        <v>23923409</v>
      </c>
      <c r="AL94" s="5">
        <f>AG94+AK94</f>
        <v>34815292</v>
      </c>
      <c r="AM94" s="5">
        <f>AM95+AM96+AM97+AM98</f>
        <v>977103</v>
      </c>
      <c r="AN94" s="5">
        <f>AN95+AN96+AN97+AN98</f>
        <v>2575870</v>
      </c>
      <c r="AO94" s="5">
        <f>AO95+AO96+AO97+AO98</f>
        <v>7400455</v>
      </c>
      <c r="AP94" s="73">
        <f>AM94+AN94+AO94</f>
        <v>10953428</v>
      </c>
      <c r="AQ94" s="5">
        <f>AQ95+AQ96+AQ97+AQ98</f>
        <v>33764336</v>
      </c>
      <c r="AR94" s="5">
        <f>AR95+AR96+AR97+AR98</f>
        <v>0</v>
      </c>
      <c r="AS94" s="5">
        <f>AS95+AS96+AS97+AS98</f>
        <v>0</v>
      </c>
      <c r="AT94" s="73">
        <f>AQ94+AR94+AS94</f>
        <v>33764336</v>
      </c>
      <c r="AU94" s="80">
        <f t="shared" si="95"/>
        <v>44717764</v>
      </c>
      <c r="AV94" s="5">
        <f>AV95+AV96+AV97+AV98</f>
        <v>1025104</v>
      </c>
      <c r="AW94" s="5">
        <f>AW95+AW96+AW97+AW98</f>
        <v>2575870</v>
      </c>
      <c r="AX94" s="5">
        <f>AX95+AX96+AX97+AX98</f>
        <v>7400455</v>
      </c>
      <c r="AY94" s="73">
        <f t="shared" si="76"/>
        <v>11001429</v>
      </c>
      <c r="AZ94" s="5">
        <f>AZ95+AZ96+AZ97+AZ98</f>
        <v>38081400</v>
      </c>
      <c r="BA94" s="5">
        <f>BA95+BA96+BA97+BA98</f>
        <v>0</v>
      </c>
      <c r="BB94" s="5">
        <f>BB95+BB96+BB97+BB98</f>
        <v>0</v>
      </c>
      <c r="BC94" s="73">
        <f t="shared" si="71"/>
        <v>38081400</v>
      </c>
      <c r="BD94" s="80">
        <f>AY94+BC94</f>
        <v>49082829</v>
      </c>
    </row>
    <row r="95" spans="1:56" ht="17.25" thickBot="1" x14ac:dyDescent="0.3">
      <c r="A95" s="88" t="s">
        <v>141</v>
      </c>
      <c r="B95" s="6" t="s">
        <v>193</v>
      </c>
      <c r="C95" s="28">
        <v>432300</v>
      </c>
      <c r="D95" s="28">
        <v>850000</v>
      </c>
      <c r="E95" s="28">
        <v>227000</v>
      </c>
      <c r="F95" s="144">
        <f>SUM(C95:E95)</f>
        <v>1509300</v>
      </c>
      <c r="G95" s="28">
        <v>0</v>
      </c>
      <c r="H95" s="28">
        <v>0</v>
      </c>
      <c r="I95" s="28">
        <v>0</v>
      </c>
      <c r="J95" s="144">
        <f>G95+H95+I95</f>
        <v>0</v>
      </c>
      <c r="K95" s="146">
        <f>F95+J95</f>
        <v>1509300</v>
      </c>
      <c r="L95" s="140">
        <v>383647.39300000004</v>
      </c>
      <c r="M95" s="140">
        <v>959399.65699999989</v>
      </c>
      <c r="N95" s="140">
        <v>150000</v>
      </c>
      <c r="O95" s="145">
        <f t="shared" si="68"/>
        <v>1493047.0499999998</v>
      </c>
      <c r="P95" s="140">
        <v>0</v>
      </c>
      <c r="Q95" s="30"/>
      <c r="R95" s="30"/>
      <c r="S95" s="144">
        <f t="shared" si="69"/>
        <v>0</v>
      </c>
      <c r="T95" s="146">
        <f t="shared" si="70"/>
        <v>1493047.0499999998</v>
      </c>
      <c r="U95" s="28">
        <v>482290</v>
      </c>
      <c r="V95" s="7">
        <v>1308745</v>
      </c>
      <c r="W95" s="7">
        <v>539000</v>
      </c>
      <c r="X95" s="74">
        <f t="shared" ref="X95:X98" si="96">SUM(U95:W95)</f>
        <v>2330035</v>
      </c>
      <c r="Y95" s="7">
        <v>0</v>
      </c>
      <c r="Z95" s="7"/>
      <c r="AA95" s="7"/>
      <c r="AB95" s="74">
        <f>Y95+Z95+AA95</f>
        <v>0</v>
      </c>
      <c r="AC95" s="80">
        <f t="shared" ref="AC95:AC98" si="97">X95+AB95</f>
        <v>2330035</v>
      </c>
      <c r="AD95" s="31">
        <v>474397</v>
      </c>
      <c r="AE95" s="31">
        <v>1458606</v>
      </c>
      <c r="AF95" s="31">
        <v>304000</v>
      </c>
      <c r="AG95" s="74">
        <f t="shared" ref="AG95:AG98" si="98">SUM(AD95:AF95)</f>
        <v>2237003</v>
      </c>
      <c r="AH95" s="7">
        <v>0</v>
      </c>
      <c r="AI95" s="7"/>
      <c r="AJ95" s="7"/>
      <c r="AK95" s="74">
        <f>AH95+AI95+AJ95</f>
        <v>0</v>
      </c>
      <c r="AL95" s="80">
        <f t="shared" si="94"/>
        <v>2237003</v>
      </c>
      <c r="AM95" s="7">
        <v>505004</v>
      </c>
      <c r="AN95" s="7">
        <v>1458606</v>
      </c>
      <c r="AO95" s="7">
        <v>304000</v>
      </c>
      <c r="AP95" s="74">
        <f t="shared" ref="AP95:AP98" si="99">SUM(AM95:AO95)</f>
        <v>2267610</v>
      </c>
      <c r="AQ95" s="7">
        <v>0</v>
      </c>
      <c r="AR95" s="7"/>
      <c r="AS95" s="7"/>
      <c r="AT95" s="74">
        <f>AQ95+AR95+AS95</f>
        <v>0</v>
      </c>
      <c r="AU95" s="80">
        <f t="shared" si="95"/>
        <v>2267610</v>
      </c>
      <c r="AV95" s="7">
        <v>528876</v>
      </c>
      <c r="AW95" s="7">
        <v>1458606</v>
      </c>
      <c r="AX95" s="7">
        <v>304000</v>
      </c>
      <c r="AY95" s="98">
        <f t="shared" si="76"/>
        <v>2291482</v>
      </c>
      <c r="AZ95" s="7">
        <v>0</v>
      </c>
      <c r="BA95" s="7">
        <v>0</v>
      </c>
      <c r="BB95" s="7">
        <v>0</v>
      </c>
      <c r="BC95" s="98">
        <f t="shared" si="71"/>
        <v>0</v>
      </c>
      <c r="BD95" s="80">
        <f t="shared" si="72"/>
        <v>2291482</v>
      </c>
    </row>
    <row r="96" spans="1:56" ht="17.25" thickBot="1" x14ac:dyDescent="0.3">
      <c r="A96" s="88" t="s">
        <v>126</v>
      </c>
      <c r="B96" s="6" t="s">
        <v>127</v>
      </c>
      <c r="C96" s="28">
        <v>169100</v>
      </c>
      <c r="D96" s="28">
        <v>690300</v>
      </c>
      <c r="E96" s="28">
        <v>4850900</v>
      </c>
      <c r="F96" s="144">
        <f>SUM(C96:E96)</f>
        <v>5710300</v>
      </c>
      <c r="G96" s="28">
        <v>25109900</v>
      </c>
      <c r="H96" s="28">
        <v>0</v>
      </c>
      <c r="I96" s="28">
        <v>0</v>
      </c>
      <c r="J96" s="144">
        <f>G96+H96+I96</f>
        <v>25109900</v>
      </c>
      <c r="K96" s="146">
        <f>F96+J96</f>
        <v>30820200</v>
      </c>
      <c r="L96" s="140">
        <v>510588.16600000003</v>
      </c>
      <c r="M96" s="140">
        <v>715732.0560000001</v>
      </c>
      <c r="N96" s="140">
        <v>4500050.8130000001</v>
      </c>
      <c r="O96" s="145">
        <f t="shared" si="68"/>
        <v>5726371.0350000001</v>
      </c>
      <c r="P96" s="140">
        <v>23042998.541999999</v>
      </c>
      <c r="Q96" s="30"/>
      <c r="R96" s="30">
        <v>0</v>
      </c>
      <c r="S96" s="144">
        <f t="shared" si="69"/>
        <v>23042998.541999999</v>
      </c>
      <c r="T96" s="146">
        <f t="shared" si="70"/>
        <v>28769369.577</v>
      </c>
      <c r="U96" s="30">
        <v>427690</v>
      </c>
      <c r="V96" s="7">
        <v>863030</v>
      </c>
      <c r="W96" s="7">
        <v>3996055</v>
      </c>
      <c r="X96" s="74">
        <f t="shared" si="96"/>
        <v>5286775</v>
      </c>
      <c r="Y96" s="7">
        <v>32383378</v>
      </c>
      <c r="Z96" s="7"/>
      <c r="AA96" s="7">
        <v>0</v>
      </c>
      <c r="AB96" s="74">
        <f>Y96+Z96+AA96</f>
        <v>32383378</v>
      </c>
      <c r="AC96" s="80">
        <f t="shared" si="97"/>
        <v>37670153</v>
      </c>
      <c r="AD96" s="32">
        <v>398569</v>
      </c>
      <c r="AE96" s="32">
        <v>966857</v>
      </c>
      <c r="AF96" s="32">
        <v>4052055</v>
      </c>
      <c r="AG96" s="74">
        <f t="shared" si="98"/>
        <v>5417481</v>
      </c>
      <c r="AH96" s="32">
        <v>23423409</v>
      </c>
      <c r="AI96" s="7"/>
      <c r="AJ96" s="7">
        <v>0</v>
      </c>
      <c r="AK96" s="74">
        <f>AH96+AI96+AJ96</f>
        <v>23423409</v>
      </c>
      <c r="AL96" s="80">
        <f t="shared" si="94"/>
        <v>28840890</v>
      </c>
      <c r="AM96" s="7">
        <v>426527</v>
      </c>
      <c r="AN96" s="7">
        <v>966857</v>
      </c>
      <c r="AO96" s="7">
        <v>4052055</v>
      </c>
      <c r="AP96" s="74">
        <f t="shared" si="99"/>
        <v>5445439</v>
      </c>
      <c r="AQ96" s="7">
        <f>2413215+30851121</f>
        <v>33264336</v>
      </c>
      <c r="AR96" s="7"/>
      <c r="AS96" s="7">
        <v>0</v>
      </c>
      <c r="AT96" s="74">
        <f>AQ96+AR96+AS96</f>
        <v>33264336</v>
      </c>
      <c r="AU96" s="80">
        <f t="shared" si="95"/>
        <v>38709775</v>
      </c>
      <c r="AV96" s="7">
        <v>448332</v>
      </c>
      <c r="AW96" s="7">
        <v>966857</v>
      </c>
      <c r="AX96" s="7">
        <v>4052055</v>
      </c>
      <c r="AY96" s="98">
        <f t="shared" si="76"/>
        <v>5467244</v>
      </c>
      <c r="AZ96" s="7">
        <f>2464215+35117185</f>
        <v>37581400</v>
      </c>
      <c r="BA96" s="7">
        <v>0</v>
      </c>
      <c r="BB96" s="7">
        <v>0</v>
      </c>
      <c r="BC96" s="98">
        <f t="shared" si="71"/>
        <v>37581400</v>
      </c>
      <c r="BD96" s="80">
        <f t="shared" si="72"/>
        <v>43048644</v>
      </c>
    </row>
    <row r="97" spans="1:56" ht="17.25" thickBot="1" x14ac:dyDescent="0.3">
      <c r="A97" s="88" t="s">
        <v>128</v>
      </c>
      <c r="B97" s="6" t="s">
        <v>178</v>
      </c>
      <c r="C97" s="28">
        <v>5100</v>
      </c>
      <c r="D97" s="28">
        <v>66800</v>
      </c>
      <c r="E97" s="28">
        <v>683500</v>
      </c>
      <c r="F97" s="144">
        <f>SUM(C97:E97)</f>
        <v>755400</v>
      </c>
      <c r="G97" s="28">
        <v>170000</v>
      </c>
      <c r="H97" s="28">
        <v>0</v>
      </c>
      <c r="I97" s="28">
        <v>0</v>
      </c>
      <c r="J97" s="144">
        <f>G97+H97+I97</f>
        <v>170000</v>
      </c>
      <c r="K97" s="146">
        <f>F97+J97</f>
        <v>925400</v>
      </c>
      <c r="L97" s="140">
        <v>22474.745999999999</v>
      </c>
      <c r="M97" s="140">
        <v>53333</v>
      </c>
      <c r="N97" s="140">
        <v>416500</v>
      </c>
      <c r="O97" s="145">
        <f t="shared" si="68"/>
        <v>492307.74599999998</v>
      </c>
      <c r="P97" s="140">
        <v>470000</v>
      </c>
      <c r="Q97" s="30">
        <v>0</v>
      </c>
      <c r="R97" s="30"/>
      <c r="S97" s="144">
        <f t="shared" si="69"/>
        <v>470000</v>
      </c>
      <c r="T97" s="146">
        <f t="shared" si="70"/>
        <v>962307.74600000004</v>
      </c>
      <c r="U97" s="35">
        <v>32272</v>
      </c>
      <c r="V97" s="7">
        <v>77495</v>
      </c>
      <c r="W97" s="7">
        <v>192000</v>
      </c>
      <c r="X97" s="74">
        <f t="shared" si="96"/>
        <v>301767</v>
      </c>
      <c r="Y97" s="7">
        <v>500000</v>
      </c>
      <c r="Z97" s="7">
        <v>0</v>
      </c>
      <c r="AA97" s="7"/>
      <c r="AB97" s="74">
        <f>Y97+Z97+AA97</f>
        <v>500000</v>
      </c>
      <c r="AC97" s="80">
        <f t="shared" si="97"/>
        <v>801767</v>
      </c>
      <c r="AD97" s="33">
        <v>42592</v>
      </c>
      <c r="AE97" s="33">
        <v>150407</v>
      </c>
      <c r="AF97" s="33">
        <v>44400</v>
      </c>
      <c r="AG97" s="74">
        <f t="shared" si="98"/>
        <v>237399</v>
      </c>
      <c r="AH97" s="33">
        <v>500000</v>
      </c>
      <c r="AI97" s="7">
        <v>0</v>
      </c>
      <c r="AJ97" s="7"/>
      <c r="AK97" s="74">
        <f>AH97+AI97+AJ97</f>
        <v>500000</v>
      </c>
      <c r="AL97" s="80">
        <f t="shared" si="94"/>
        <v>737399</v>
      </c>
      <c r="AM97" s="7">
        <v>45572</v>
      </c>
      <c r="AN97" s="7">
        <v>150407</v>
      </c>
      <c r="AO97" s="7">
        <v>44400</v>
      </c>
      <c r="AP97" s="74">
        <f t="shared" si="99"/>
        <v>240379</v>
      </c>
      <c r="AQ97" s="7">
        <v>500000</v>
      </c>
      <c r="AR97" s="7">
        <v>0</v>
      </c>
      <c r="AS97" s="7"/>
      <c r="AT97" s="74">
        <f>AQ97+AR97+AS97</f>
        <v>500000</v>
      </c>
      <c r="AU97" s="80">
        <f t="shared" si="95"/>
        <v>740379</v>
      </c>
      <c r="AV97" s="7">
        <v>47896</v>
      </c>
      <c r="AW97" s="7">
        <v>150407</v>
      </c>
      <c r="AX97" s="7">
        <v>44400</v>
      </c>
      <c r="AY97" s="98">
        <f t="shared" si="76"/>
        <v>242703</v>
      </c>
      <c r="AZ97" s="7">
        <v>500000</v>
      </c>
      <c r="BA97" s="7">
        <v>0</v>
      </c>
      <c r="BB97" s="7">
        <v>0</v>
      </c>
      <c r="BC97" s="98">
        <f t="shared" si="71"/>
        <v>500000</v>
      </c>
      <c r="BD97" s="80">
        <f t="shared" si="72"/>
        <v>742703</v>
      </c>
    </row>
    <row r="98" spans="1:56" ht="16.5" x14ac:dyDescent="0.25">
      <c r="A98" s="92">
        <v>117</v>
      </c>
      <c r="B98" s="16" t="s">
        <v>247</v>
      </c>
      <c r="C98" s="36"/>
      <c r="D98" s="36"/>
      <c r="E98" s="105"/>
      <c r="F98" s="156"/>
      <c r="G98" s="105"/>
      <c r="H98" s="167"/>
      <c r="I98" s="168"/>
      <c r="J98" s="156"/>
      <c r="K98" s="146"/>
      <c r="L98" s="36"/>
      <c r="M98" s="36"/>
      <c r="N98" s="36"/>
      <c r="O98" s="145">
        <f t="shared" si="68"/>
        <v>0</v>
      </c>
      <c r="P98" s="36"/>
      <c r="Q98" s="36"/>
      <c r="R98" s="36"/>
      <c r="S98" s="144">
        <f t="shared" si="69"/>
        <v>0</v>
      </c>
      <c r="T98" s="146">
        <f t="shared" si="70"/>
        <v>0</v>
      </c>
      <c r="U98" s="17">
        <v>0</v>
      </c>
      <c r="V98" s="17">
        <v>0</v>
      </c>
      <c r="W98" s="17">
        <v>3000000</v>
      </c>
      <c r="X98" s="74">
        <f t="shared" si="96"/>
        <v>3000000</v>
      </c>
      <c r="Y98" s="17">
        <v>0</v>
      </c>
      <c r="Z98" s="17">
        <v>0</v>
      </c>
      <c r="AA98" s="17">
        <v>0</v>
      </c>
      <c r="AB98" s="75">
        <v>0</v>
      </c>
      <c r="AC98" s="80">
        <f t="shared" si="97"/>
        <v>3000000</v>
      </c>
      <c r="AD98" s="17">
        <v>0</v>
      </c>
      <c r="AE98" s="17">
        <v>0</v>
      </c>
      <c r="AF98" s="17">
        <v>3000000</v>
      </c>
      <c r="AG98" s="74">
        <f t="shared" si="98"/>
        <v>3000000</v>
      </c>
      <c r="AH98" s="17">
        <v>0</v>
      </c>
      <c r="AI98" s="17">
        <v>0</v>
      </c>
      <c r="AJ98" s="17">
        <v>0</v>
      </c>
      <c r="AK98" s="75">
        <v>0</v>
      </c>
      <c r="AL98" s="80">
        <f t="shared" si="94"/>
        <v>3000000</v>
      </c>
      <c r="AM98" s="17">
        <v>0</v>
      </c>
      <c r="AN98" s="17"/>
      <c r="AO98" s="17">
        <v>3000000</v>
      </c>
      <c r="AP98" s="74">
        <f t="shared" si="99"/>
        <v>3000000</v>
      </c>
      <c r="AQ98" s="17"/>
      <c r="AR98" s="17"/>
      <c r="AS98" s="17"/>
      <c r="AT98" s="75"/>
      <c r="AU98" s="80">
        <f t="shared" si="95"/>
        <v>3000000</v>
      </c>
      <c r="AV98" s="17">
        <v>0</v>
      </c>
      <c r="AW98" s="17">
        <v>0</v>
      </c>
      <c r="AX98" s="17">
        <v>3000000</v>
      </c>
      <c r="AY98" s="98">
        <f t="shared" si="76"/>
        <v>3000000</v>
      </c>
      <c r="AZ98" s="17"/>
      <c r="BA98" s="17"/>
      <c r="BB98" s="17"/>
      <c r="BC98" s="98">
        <f t="shared" si="71"/>
        <v>0</v>
      </c>
      <c r="BD98" s="80">
        <f t="shared" si="72"/>
        <v>3000000</v>
      </c>
    </row>
    <row r="99" spans="1:56" ht="17.25" thickBot="1" x14ac:dyDescent="0.3">
      <c r="A99" s="171" t="s">
        <v>132</v>
      </c>
      <c r="B99" s="172"/>
      <c r="C99" s="141">
        <f>C100+C101+C102</f>
        <v>37503895.831</v>
      </c>
      <c r="D99" s="141">
        <f>D100+D101+D102</f>
        <v>9804652.3909999989</v>
      </c>
      <c r="E99" s="141">
        <f>E100+E101+E102</f>
        <v>486991.24099999998</v>
      </c>
      <c r="F99" s="143">
        <f>C99+D99+E99</f>
        <v>47795539.463</v>
      </c>
      <c r="G99" s="142">
        <f>G100+G101+G102</f>
        <v>54775908.105999999</v>
      </c>
      <c r="H99" s="142">
        <f>H100+H101+H102</f>
        <v>0</v>
      </c>
      <c r="I99" s="142">
        <f>I100+I101+I102</f>
        <v>8000000</v>
      </c>
      <c r="J99" s="143">
        <f>G99+H99</f>
        <v>54775908.105999999</v>
      </c>
      <c r="K99" s="146">
        <f>K100+K101+K102</f>
        <v>105594497.56900001</v>
      </c>
      <c r="L99" s="141">
        <f>L100+L101+L102</f>
        <v>50492408.802999996</v>
      </c>
      <c r="M99" s="141">
        <f>M100+M101+M102</f>
        <v>18817275.028000001</v>
      </c>
      <c r="N99" s="141">
        <f>N100+N101+N102</f>
        <v>456000</v>
      </c>
      <c r="O99" s="143">
        <f t="shared" si="68"/>
        <v>69765683.831</v>
      </c>
      <c r="P99" s="141">
        <f>P100+P101+P102</f>
        <v>16264237.550000001</v>
      </c>
      <c r="Q99" s="141">
        <f>Q100+Q101+Q102</f>
        <v>0</v>
      </c>
      <c r="R99" s="141">
        <f>R100+R101+R102</f>
        <v>0</v>
      </c>
      <c r="S99" s="157">
        <f t="shared" si="69"/>
        <v>16264237.550000001</v>
      </c>
      <c r="T99" s="146">
        <f>T100+T101+T102</f>
        <v>90413011.380999997</v>
      </c>
      <c r="U99" s="5">
        <f>U100+U101+U102</f>
        <v>53529725</v>
      </c>
      <c r="V99" s="5">
        <f>V100+V101+V102</f>
        <v>20932384</v>
      </c>
      <c r="W99" s="5">
        <f>W100+W101+W102</f>
        <v>750000</v>
      </c>
      <c r="X99" s="73">
        <f>U99+V99+W99</f>
        <v>75212109</v>
      </c>
      <c r="Y99" s="5">
        <f>Y100+Y101+Y102</f>
        <v>18239984</v>
      </c>
      <c r="Z99" s="5">
        <f>Z100+Z101+Z102</f>
        <v>0</v>
      </c>
      <c r="AA99" s="5">
        <f>AA100+AA101+AA102</f>
        <v>8000000</v>
      </c>
      <c r="AB99" s="73">
        <f>Y99+Z99+AA99</f>
        <v>26239984</v>
      </c>
      <c r="AC99" s="80">
        <f>X99+AB99</f>
        <v>101452093</v>
      </c>
      <c r="AD99" s="5">
        <f>AD100+AD101+AD102</f>
        <v>60711122</v>
      </c>
      <c r="AE99" s="5">
        <f>AE100+AE101+AE102</f>
        <v>42369185</v>
      </c>
      <c r="AF99" s="5">
        <f>AF100+AF101+AF102</f>
        <v>1313200</v>
      </c>
      <c r="AG99" s="73">
        <f>AD99+AE99+AF99</f>
        <v>104393507</v>
      </c>
      <c r="AH99" s="5">
        <f>AH100+AH101+AH102</f>
        <v>21737228</v>
      </c>
      <c r="AI99" s="5">
        <f>AI100+AI101+AI102</f>
        <v>0</v>
      </c>
      <c r="AJ99" s="5">
        <f>AJ100+AJ101+AJ102</f>
        <v>0</v>
      </c>
      <c r="AK99" s="73">
        <f>SUM(AH99:AJ99)</f>
        <v>21737228</v>
      </c>
      <c r="AL99" s="80">
        <f>AG99+AK99</f>
        <v>126130735</v>
      </c>
      <c r="AM99" s="5">
        <f>AM100+AM101+AM102</f>
        <v>65206248</v>
      </c>
      <c r="AN99" s="5">
        <f>AN100+AN101+AN102</f>
        <v>42369185</v>
      </c>
      <c r="AO99" s="5">
        <f>AO100+AO101+AO102</f>
        <v>1313200</v>
      </c>
      <c r="AP99" s="73">
        <f>AM99+AN99+AO99</f>
        <v>108888633</v>
      </c>
      <c r="AQ99" s="5">
        <f>AQ100+AQ101+AQ102</f>
        <v>21522373</v>
      </c>
      <c r="AR99" s="5">
        <f>AR100+AR101+AR102</f>
        <v>0</v>
      </c>
      <c r="AS99" s="5">
        <f>AS100+AS101+AS102</f>
        <v>0</v>
      </c>
      <c r="AT99" s="73">
        <f>AQ99+AR99+AS99</f>
        <v>21522373</v>
      </c>
      <c r="AU99" s="80">
        <f t="shared" ref="AU99:AU106" si="100">AP99+AT99</f>
        <v>130411006</v>
      </c>
      <c r="AV99" s="5">
        <f>AV100+AV101+AV102</f>
        <v>69443272</v>
      </c>
      <c r="AW99" s="5">
        <f>AW100+AW101+AW102</f>
        <v>42369184</v>
      </c>
      <c r="AX99" s="5">
        <f>AX100+AX101+AX102</f>
        <v>1313200</v>
      </c>
      <c r="AY99" s="73">
        <f>AV99+AW99+AX99</f>
        <v>113125656</v>
      </c>
      <c r="AZ99" s="5">
        <f>AZ100+AZ101+AZ102</f>
        <v>24013737</v>
      </c>
      <c r="BA99" s="5">
        <f>BA100+BA101+BA102</f>
        <v>0</v>
      </c>
      <c r="BB99" s="5">
        <f>BB100+BB101+BB102</f>
        <v>0</v>
      </c>
      <c r="BC99" s="73">
        <f t="shared" si="71"/>
        <v>24013737</v>
      </c>
      <c r="BD99" s="80">
        <f>AY99+BC99</f>
        <v>137139393</v>
      </c>
    </row>
    <row r="100" spans="1:56" ht="17.25" thickBot="1" x14ac:dyDescent="0.3">
      <c r="A100" s="88" t="s">
        <v>65</v>
      </c>
      <c r="B100" s="6" t="s">
        <v>134</v>
      </c>
      <c r="C100" s="28">
        <v>81092.47600000001</v>
      </c>
      <c r="D100" s="28">
        <v>5436326.9989999998</v>
      </c>
      <c r="E100" s="28">
        <v>269991.24099999998</v>
      </c>
      <c r="F100" s="143">
        <f>SUM(C100:E100)</f>
        <v>5787410.716</v>
      </c>
      <c r="G100" s="28">
        <v>226760.97100000002</v>
      </c>
      <c r="H100" s="167">
        <v>0</v>
      </c>
      <c r="I100" s="168">
        <v>0</v>
      </c>
      <c r="J100" s="145">
        <f>G100+H100+I100</f>
        <v>226760.97100000002</v>
      </c>
      <c r="K100" s="146">
        <f t="shared" ref="K100:K113" si="101">F100+J100</f>
        <v>6014171.6869999999</v>
      </c>
      <c r="L100" s="140">
        <v>227512.87899999999</v>
      </c>
      <c r="M100" s="140">
        <v>1277023.956</v>
      </c>
      <c r="N100" s="140">
        <v>130000</v>
      </c>
      <c r="O100" s="145">
        <f t="shared" si="68"/>
        <v>1634536.835</v>
      </c>
      <c r="P100" s="140">
        <v>16264237.550000001</v>
      </c>
      <c r="Q100" s="30"/>
      <c r="R100" s="30"/>
      <c r="S100" s="144">
        <f t="shared" si="69"/>
        <v>16264237.550000001</v>
      </c>
      <c r="T100" s="146">
        <f t="shared" si="70"/>
        <v>17898774.385000002</v>
      </c>
      <c r="U100" s="28">
        <v>1197969</v>
      </c>
      <c r="V100" s="28">
        <v>1675516</v>
      </c>
      <c r="W100" s="28">
        <v>170000</v>
      </c>
      <c r="X100" s="73">
        <f>U100+V100+W100</f>
        <v>3043485</v>
      </c>
      <c r="Y100" s="7">
        <v>18239984</v>
      </c>
      <c r="Z100" s="7"/>
      <c r="AA100" s="7"/>
      <c r="AB100" s="73">
        <f>Y100+Z100+AA100</f>
        <v>18239984</v>
      </c>
      <c r="AC100" s="80">
        <f>X100+AB100</f>
        <v>21283469</v>
      </c>
      <c r="AD100" s="28">
        <v>500000</v>
      </c>
      <c r="AE100" s="28">
        <v>1603849</v>
      </c>
      <c r="AF100" s="28">
        <v>241668</v>
      </c>
      <c r="AG100" s="73">
        <f>AD100+AE100+AF100</f>
        <v>2345517</v>
      </c>
      <c r="AH100" s="31">
        <v>21737228</v>
      </c>
      <c r="AI100" s="7"/>
      <c r="AJ100" s="7"/>
      <c r="AK100" s="73">
        <f t="shared" ref="AK100:AK111" si="102">AH100+AI100+AJ100</f>
        <v>21737228</v>
      </c>
      <c r="AL100" s="80">
        <f t="shared" ref="AL100:AL116" si="103">AG100+AK100</f>
        <v>24082745</v>
      </c>
      <c r="AM100" s="7">
        <v>500000</v>
      </c>
      <c r="AN100" s="7">
        <v>1603848</v>
      </c>
      <c r="AO100" s="7">
        <v>241668</v>
      </c>
      <c r="AP100" s="73">
        <f>AM100+AN100+AO100</f>
        <v>2345516</v>
      </c>
      <c r="AQ100" s="7">
        <v>21522373</v>
      </c>
      <c r="AR100" s="7"/>
      <c r="AS100" s="7"/>
      <c r="AT100" s="73">
        <f>AQ100+AR100+AS100</f>
        <v>21522373</v>
      </c>
      <c r="AU100" s="80">
        <f t="shared" si="100"/>
        <v>23867889</v>
      </c>
      <c r="AV100" s="7">
        <v>500000</v>
      </c>
      <c r="AW100" s="7">
        <v>1603848</v>
      </c>
      <c r="AX100" s="7">
        <v>241668</v>
      </c>
      <c r="AY100" s="98">
        <f t="shared" si="76"/>
        <v>2345516</v>
      </c>
      <c r="AZ100" s="7">
        <v>24013737</v>
      </c>
      <c r="BA100" s="7"/>
      <c r="BB100" s="7"/>
      <c r="BC100" s="98">
        <f t="shared" si="71"/>
        <v>24013737</v>
      </c>
      <c r="BD100" s="80">
        <f t="shared" si="72"/>
        <v>26359253</v>
      </c>
    </row>
    <row r="101" spans="1:56" ht="17.25" thickBot="1" x14ac:dyDescent="0.3">
      <c r="A101" s="88" t="s">
        <v>68</v>
      </c>
      <c r="B101" s="6" t="s">
        <v>137</v>
      </c>
      <c r="C101" s="28">
        <v>37422803.354999997</v>
      </c>
      <c r="D101" s="28">
        <v>4368325.392</v>
      </c>
      <c r="E101" s="28">
        <v>217000</v>
      </c>
      <c r="F101" s="143">
        <f>SUM(C101:E101)</f>
        <v>42008128.746999994</v>
      </c>
      <c r="G101" s="28">
        <v>54549147.134999998</v>
      </c>
      <c r="H101" s="167">
        <v>0</v>
      </c>
      <c r="I101" s="168">
        <v>0</v>
      </c>
      <c r="J101" s="145">
        <f>G101+H101+I101</f>
        <v>54549147.134999998</v>
      </c>
      <c r="K101" s="146">
        <f t="shared" si="101"/>
        <v>96557275.881999999</v>
      </c>
      <c r="L101" s="140">
        <v>50264895.923999995</v>
      </c>
      <c r="M101" s="140">
        <v>17540251.072000001</v>
      </c>
      <c r="N101" s="140">
        <v>326000</v>
      </c>
      <c r="O101" s="145">
        <f t="shared" si="68"/>
        <v>68131146.995999992</v>
      </c>
      <c r="P101" s="140">
        <v>0</v>
      </c>
      <c r="Q101" s="30">
        <v>0</v>
      </c>
      <c r="R101" s="30">
        <v>0</v>
      </c>
      <c r="S101" s="144">
        <f t="shared" si="69"/>
        <v>0</v>
      </c>
      <c r="T101" s="146">
        <f t="shared" si="70"/>
        <v>68131146.995999992</v>
      </c>
      <c r="U101" s="35">
        <v>52331756</v>
      </c>
      <c r="V101" s="28">
        <v>19256868</v>
      </c>
      <c r="W101" s="35">
        <v>580000</v>
      </c>
      <c r="X101" s="73">
        <f>U101+V101+W101</f>
        <v>72168624</v>
      </c>
      <c r="Y101" s="19">
        <v>0</v>
      </c>
      <c r="Z101" s="7">
        <v>0</v>
      </c>
      <c r="AA101" s="7">
        <v>0</v>
      </c>
      <c r="AB101" s="73">
        <f>Y101+Z101+AA101</f>
        <v>0</v>
      </c>
      <c r="AC101" s="80">
        <f>X101+AB101</f>
        <v>72168624</v>
      </c>
      <c r="AD101" s="33">
        <v>59211122</v>
      </c>
      <c r="AE101" s="33">
        <v>33765336</v>
      </c>
      <c r="AF101" s="33">
        <v>1071532</v>
      </c>
      <c r="AG101" s="73">
        <f>AD101+AE101+AF101</f>
        <v>94047990</v>
      </c>
      <c r="AH101" s="19">
        <v>0</v>
      </c>
      <c r="AI101" s="7">
        <v>0</v>
      </c>
      <c r="AJ101" s="7">
        <v>0</v>
      </c>
      <c r="AK101" s="73">
        <f t="shared" si="102"/>
        <v>0</v>
      </c>
      <c r="AL101" s="80">
        <f t="shared" si="103"/>
        <v>94047990</v>
      </c>
      <c r="AM101" s="7">
        <v>63706248</v>
      </c>
      <c r="AN101" s="7">
        <v>33765337</v>
      </c>
      <c r="AO101" s="7">
        <v>1071532</v>
      </c>
      <c r="AP101" s="73">
        <f>AM101+AN101+AO101</f>
        <v>98543117</v>
      </c>
      <c r="AQ101" s="7">
        <v>0</v>
      </c>
      <c r="AR101" s="7">
        <v>0</v>
      </c>
      <c r="AS101" s="7">
        <v>0</v>
      </c>
      <c r="AT101" s="73">
        <f>AQ101+AR101+AS101</f>
        <v>0</v>
      </c>
      <c r="AU101" s="80">
        <f t="shared" si="100"/>
        <v>98543117</v>
      </c>
      <c r="AV101" s="7">
        <v>67943272</v>
      </c>
      <c r="AW101" s="7">
        <v>33765336</v>
      </c>
      <c r="AX101" s="7">
        <v>1071532</v>
      </c>
      <c r="AY101" s="98">
        <f t="shared" si="76"/>
        <v>102780140</v>
      </c>
      <c r="AZ101" s="7">
        <v>0</v>
      </c>
      <c r="BA101" s="7">
        <v>0</v>
      </c>
      <c r="BB101" s="7">
        <v>0</v>
      </c>
      <c r="BC101" s="98">
        <f t="shared" si="71"/>
        <v>0</v>
      </c>
      <c r="BD101" s="80">
        <f t="shared" si="72"/>
        <v>102780140</v>
      </c>
    </row>
    <row r="102" spans="1:56" ht="16.5" x14ac:dyDescent="0.25">
      <c r="A102" s="91">
        <v>110</v>
      </c>
      <c r="B102" s="62" t="s">
        <v>234</v>
      </c>
      <c r="C102" s="63">
        <v>0</v>
      </c>
      <c r="D102" s="63">
        <v>0</v>
      </c>
      <c r="E102" s="154">
        <v>0</v>
      </c>
      <c r="F102" s="143">
        <v>0</v>
      </c>
      <c r="G102" s="154">
        <v>0</v>
      </c>
      <c r="H102" s="167">
        <v>0</v>
      </c>
      <c r="I102" s="168">
        <v>8000000</v>
      </c>
      <c r="J102" s="145">
        <v>0</v>
      </c>
      <c r="K102" s="146">
        <f>'[1]Classification prog-économi (2'!$Y$114</f>
        <v>3023050</v>
      </c>
      <c r="L102" s="63">
        <v>0</v>
      </c>
      <c r="M102" s="28">
        <v>0</v>
      </c>
      <c r="N102" s="63">
        <v>0</v>
      </c>
      <c r="O102" s="145">
        <f t="shared" si="68"/>
        <v>0</v>
      </c>
      <c r="P102" s="63">
        <v>0</v>
      </c>
      <c r="Q102" s="63">
        <v>0</v>
      </c>
      <c r="R102" s="63">
        <v>0</v>
      </c>
      <c r="S102" s="144">
        <f t="shared" si="69"/>
        <v>0</v>
      </c>
      <c r="T102" s="146">
        <v>4383090</v>
      </c>
      <c r="U102" s="60"/>
      <c r="V102" s="60"/>
      <c r="W102" s="60"/>
      <c r="X102" s="73"/>
      <c r="Y102" s="60"/>
      <c r="Z102" s="60"/>
      <c r="AA102" s="60">
        <v>8000000</v>
      </c>
      <c r="AB102" s="73">
        <f>Y102+Z102+AA102</f>
        <v>8000000</v>
      </c>
      <c r="AC102" s="80">
        <f>X102+AB102</f>
        <v>8000000</v>
      </c>
      <c r="AD102" s="60">
        <v>1000000</v>
      </c>
      <c r="AE102" s="60">
        <v>7000000</v>
      </c>
      <c r="AF102" s="60"/>
      <c r="AG102" s="73"/>
      <c r="AH102" s="60"/>
      <c r="AI102" s="60"/>
      <c r="AJ102" s="60">
        <v>0</v>
      </c>
      <c r="AK102" s="73">
        <f t="shared" si="102"/>
        <v>0</v>
      </c>
      <c r="AL102" s="80">
        <f t="shared" si="103"/>
        <v>0</v>
      </c>
      <c r="AM102" s="60">
        <v>1000000</v>
      </c>
      <c r="AN102" s="60">
        <v>7000000</v>
      </c>
      <c r="AO102" s="60"/>
      <c r="AP102" s="73">
        <f>AM102+AN102+AO102</f>
        <v>8000000</v>
      </c>
      <c r="AQ102" s="60"/>
      <c r="AR102" s="60"/>
      <c r="AS102" s="11">
        <v>0</v>
      </c>
      <c r="AT102" s="73">
        <f>AQ102+AR102+AS102</f>
        <v>0</v>
      </c>
      <c r="AU102" s="80">
        <f t="shared" si="100"/>
        <v>8000000</v>
      </c>
      <c r="AV102" s="11">
        <v>1000000</v>
      </c>
      <c r="AW102" s="11">
        <v>7000000</v>
      </c>
      <c r="AX102" s="11">
        <v>0</v>
      </c>
      <c r="AY102" s="98">
        <f t="shared" si="76"/>
        <v>8000000</v>
      </c>
      <c r="AZ102" s="7">
        <v>0</v>
      </c>
      <c r="BA102" s="7">
        <v>0</v>
      </c>
      <c r="BB102" s="7">
        <v>0</v>
      </c>
      <c r="BC102" s="98">
        <f t="shared" si="71"/>
        <v>0</v>
      </c>
      <c r="BD102" s="80">
        <f t="shared" si="72"/>
        <v>8000000</v>
      </c>
    </row>
    <row r="103" spans="1:56" ht="17.25" thickBot="1" x14ac:dyDescent="0.3">
      <c r="A103" s="171" t="s">
        <v>138</v>
      </c>
      <c r="B103" s="172"/>
      <c r="C103" s="141">
        <f>C104+C105+C106</f>
        <v>1615869.2170000002</v>
      </c>
      <c r="D103" s="141">
        <f>D104+D105+D106</f>
        <v>2008136.7050000001</v>
      </c>
      <c r="E103" s="142">
        <f>E104+E105+E106</f>
        <v>15293546.059</v>
      </c>
      <c r="F103" s="143">
        <f>C103+D103+E103</f>
        <v>18917551.980999999</v>
      </c>
      <c r="G103" s="142">
        <f>G104+G105+G106</f>
        <v>344637.76699999999</v>
      </c>
      <c r="H103" s="142">
        <f>H104+H105+H106</f>
        <v>0</v>
      </c>
      <c r="I103" s="142">
        <f>I104+I105+I106</f>
        <v>0</v>
      </c>
      <c r="J103" s="157">
        <f>G103+H103</f>
        <v>344637.76699999999</v>
      </c>
      <c r="K103" s="146">
        <f t="shared" si="101"/>
        <v>19262189.748</v>
      </c>
      <c r="L103" s="141">
        <f>L104+L105+L106</f>
        <v>2621801.0299999998</v>
      </c>
      <c r="M103" s="141">
        <f>M104+M105+M106</f>
        <v>2198352.6410000003</v>
      </c>
      <c r="N103" s="141">
        <f>N104+N105+N106</f>
        <v>1097697.801</v>
      </c>
      <c r="O103" s="143">
        <f t="shared" si="68"/>
        <v>5917851.4720000001</v>
      </c>
      <c r="P103" s="141">
        <f>P104+P105+P106</f>
        <v>2034103.5730000001</v>
      </c>
      <c r="Q103" s="141">
        <f>Q104+Q105+Q106</f>
        <v>13426581.845000001</v>
      </c>
      <c r="R103" s="141">
        <f>R104+R105+R106</f>
        <v>13224725.732999999</v>
      </c>
      <c r="S103" s="157">
        <f t="shared" si="69"/>
        <v>28685411.151000001</v>
      </c>
      <c r="T103" s="146">
        <f t="shared" si="70"/>
        <v>34603262.623000003</v>
      </c>
      <c r="U103" s="5">
        <f t="shared" ref="U103:AC103" si="104">U104+U105+U106</f>
        <v>2662248</v>
      </c>
      <c r="V103" s="5">
        <f t="shared" si="104"/>
        <v>3471112</v>
      </c>
      <c r="W103" s="5">
        <f t="shared" si="104"/>
        <v>2243608</v>
      </c>
      <c r="X103" s="73">
        <f t="shared" si="104"/>
        <v>8376968</v>
      </c>
      <c r="Y103" s="5">
        <f t="shared" si="104"/>
        <v>14703147</v>
      </c>
      <c r="Z103" s="5">
        <f t="shared" si="104"/>
        <v>0</v>
      </c>
      <c r="AA103" s="5">
        <f t="shared" si="104"/>
        <v>2376058</v>
      </c>
      <c r="AB103" s="73">
        <f t="shared" si="104"/>
        <v>17079205</v>
      </c>
      <c r="AC103" s="80">
        <f t="shared" si="104"/>
        <v>25456173</v>
      </c>
      <c r="AD103" s="5">
        <f t="shared" ref="AD103:AT103" si="105">AD104+AD105+AD106</f>
        <v>2880065</v>
      </c>
      <c r="AE103" s="5">
        <f t="shared" si="105"/>
        <v>3421705</v>
      </c>
      <c r="AF103" s="5">
        <f t="shared" si="105"/>
        <v>2485015</v>
      </c>
      <c r="AG103" s="73">
        <f t="shared" si="105"/>
        <v>8786785</v>
      </c>
      <c r="AH103" s="5">
        <f t="shared" si="105"/>
        <v>15511068</v>
      </c>
      <c r="AI103" s="5">
        <f t="shared" si="105"/>
        <v>0</v>
      </c>
      <c r="AJ103" s="5">
        <f t="shared" si="105"/>
        <v>2686000</v>
      </c>
      <c r="AK103" s="73">
        <f t="shared" si="105"/>
        <v>18197068</v>
      </c>
      <c r="AL103" s="80">
        <f t="shared" si="105"/>
        <v>26983853</v>
      </c>
      <c r="AM103" s="5">
        <f t="shared" si="105"/>
        <v>3057926</v>
      </c>
      <c r="AN103" s="5">
        <f t="shared" si="105"/>
        <v>3471112</v>
      </c>
      <c r="AO103" s="5">
        <f t="shared" si="105"/>
        <v>2243608</v>
      </c>
      <c r="AP103" s="73">
        <f t="shared" si="105"/>
        <v>8772646</v>
      </c>
      <c r="AQ103" s="5">
        <f t="shared" si="105"/>
        <v>16030173</v>
      </c>
      <c r="AR103" s="5">
        <f t="shared" si="105"/>
        <v>0</v>
      </c>
      <c r="AS103" s="5">
        <f t="shared" si="105"/>
        <v>3582000</v>
      </c>
      <c r="AT103" s="73">
        <f t="shared" si="105"/>
        <v>19612173</v>
      </c>
      <c r="AU103" s="80">
        <f>AP103+AT103</f>
        <v>28384819</v>
      </c>
      <c r="AV103" s="5">
        <f>AV104+AV105+AV106</f>
        <v>3228185</v>
      </c>
      <c r="AW103" s="5">
        <f>AW104+AW105+AW106</f>
        <v>3471112</v>
      </c>
      <c r="AX103" s="5">
        <f>AX104+AX105+AX106</f>
        <v>2243608</v>
      </c>
      <c r="AY103" s="73">
        <f t="shared" si="76"/>
        <v>8942905</v>
      </c>
      <c r="AZ103" s="5">
        <f>AZ104+AZ105+AZ106</f>
        <v>16030173</v>
      </c>
      <c r="BA103" s="5">
        <f>BA104+BA105+BA106</f>
        <v>0</v>
      </c>
      <c r="BB103" s="5">
        <f>BB104+BB105+BB106</f>
        <v>3582000</v>
      </c>
      <c r="BC103" s="73">
        <f t="shared" si="71"/>
        <v>19612173</v>
      </c>
      <c r="BD103" s="80">
        <f t="shared" si="72"/>
        <v>28555078</v>
      </c>
    </row>
    <row r="104" spans="1:56" ht="17.25" thickBot="1" x14ac:dyDescent="0.3">
      <c r="A104" s="88" t="s">
        <v>37</v>
      </c>
      <c r="B104" s="6" t="s">
        <v>140</v>
      </c>
      <c r="C104" s="28">
        <v>1293498.3050000002</v>
      </c>
      <c r="D104" s="28">
        <v>1294140.027</v>
      </c>
      <c r="E104" s="28">
        <v>0</v>
      </c>
      <c r="F104" s="144">
        <f>SUM(C104:E104)</f>
        <v>2587638.3320000004</v>
      </c>
      <c r="G104" s="28">
        <v>0</v>
      </c>
      <c r="H104" s="167">
        <v>0</v>
      </c>
      <c r="I104" s="168">
        <v>0</v>
      </c>
      <c r="J104" s="144">
        <f t="shared" ref="J104:J106" si="106">G104+H104+I104</f>
        <v>0</v>
      </c>
      <c r="K104" s="146">
        <f t="shared" si="101"/>
        <v>2587638.3320000004</v>
      </c>
      <c r="L104" s="140">
        <v>2230394.031</v>
      </c>
      <c r="M104" s="140">
        <v>1516495.9230000002</v>
      </c>
      <c r="N104" s="140">
        <v>211675.74099999998</v>
      </c>
      <c r="O104" s="145">
        <f t="shared" si="68"/>
        <v>3958565.6949999998</v>
      </c>
      <c r="P104" s="140">
        <v>0</v>
      </c>
      <c r="Q104" s="209">
        <v>0</v>
      </c>
      <c r="R104" s="140">
        <v>0</v>
      </c>
      <c r="S104" s="144">
        <f t="shared" si="69"/>
        <v>0</v>
      </c>
      <c r="T104" s="146">
        <f t="shared" si="70"/>
        <v>3958565.6949999998</v>
      </c>
      <c r="U104" s="28">
        <v>2137960</v>
      </c>
      <c r="V104" s="28">
        <v>2527260</v>
      </c>
      <c r="W104" s="28">
        <v>62150</v>
      </c>
      <c r="X104" s="74">
        <f>SUM(U104:W104)</f>
        <v>4727370</v>
      </c>
      <c r="Y104" s="7">
        <v>0</v>
      </c>
      <c r="Z104" s="7">
        <v>0</v>
      </c>
      <c r="AA104" s="7">
        <v>0</v>
      </c>
      <c r="AB104" s="74">
        <f>Y104+Z104+AA104</f>
        <v>0</v>
      </c>
      <c r="AC104" s="80">
        <f>X104+AB104</f>
        <v>4727370</v>
      </c>
      <c r="AD104" s="28">
        <v>2494331</v>
      </c>
      <c r="AE104" s="28">
        <v>2532637</v>
      </c>
      <c r="AF104" s="28">
        <v>56773</v>
      </c>
      <c r="AG104" s="74">
        <f>SUM(AD104:AF104)</f>
        <v>5083741</v>
      </c>
      <c r="AH104" s="7">
        <v>0</v>
      </c>
      <c r="AI104" s="7">
        <v>0</v>
      </c>
      <c r="AJ104" s="7">
        <v>0</v>
      </c>
      <c r="AK104" s="74">
        <f t="shared" si="102"/>
        <v>0</v>
      </c>
      <c r="AL104" s="80">
        <f t="shared" si="103"/>
        <v>5083741</v>
      </c>
      <c r="AM104" s="7">
        <v>2653892</v>
      </c>
      <c r="AN104" s="7">
        <v>2527260</v>
      </c>
      <c r="AO104" s="7">
        <v>62150</v>
      </c>
      <c r="AP104" s="74">
        <f>SUM(AM104:AO104)</f>
        <v>5243302</v>
      </c>
      <c r="AQ104" s="7">
        <v>0</v>
      </c>
      <c r="AR104" s="7">
        <v>0</v>
      </c>
      <c r="AS104" s="7">
        <v>0</v>
      </c>
      <c r="AT104" s="74">
        <f>AQ104+AR104+AS104</f>
        <v>0</v>
      </c>
      <c r="AU104" s="80">
        <f t="shared" si="100"/>
        <v>5243302</v>
      </c>
      <c r="AV104" s="7">
        <v>2801655</v>
      </c>
      <c r="AW104" s="7">
        <v>2527260</v>
      </c>
      <c r="AX104" s="7">
        <v>62150</v>
      </c>
      <c r="AY104" s="98">
        <f t="shared" si="76"/>
        <v>5391065</v>
      </c>
      <c r="AZ104" s="7"/>
      <c r="BA104" s="7">
        <v>0</v>
      </c>
      <c r="BB104" s="7">
        <v>0</v>
      </c>
      <c r="BC104" s="98">
        <f t="shared" si="71"/>
        <v>0</v>
      </c>
      <c r="BD104" s="80">
        <f t="shared" si="72"/>
        <v>5391065</v>
      </c>
    </row>
    <row r="105" spans="1:56" ht="33" customHeight="1" thickBot="1" x14ac:dyDescent="0.3">
      <c r="A105" s="88" t="s">
        <v>39</v>
      </c>
      <c r="B105" s="6" t="s">
        <v>142</v>
      </c>
      <c r="C105" s="28">
        <v>172696.20499999999</v>
      </c>
      <c r="D105" s="28">
        <v>642682.08799999999</v>
      </c>
      <c r="E105" s="28">
        <v>14459826.059</v>
      </c>
      <c r="F105" s="144">
        <f>SUM(C105:E105)</f>
        <v>15275204.352</v>
      </c>
      <c r="G105" s="28">
        <v>344637.76699999999</v>
      </c>
      <c r="H105" s="167">
        <v>0</v>
      </c>
      <c r="I105" s="168">
        <v>0</v>
      </c>
      <c r="J105" s="144">
        <f t="shared" si="106"/>
        <v>344637.76699999999</v>
      </c>
      <c r="K105" s="146">
        <f t="shared" si="101"/>
        <v>15619842.118999999</v>
      </c>
      <c r="L105" s="140">
        <v>340963.99900000001</v>
      </c>
      <c r="M105" s="140">
        <v>638784.61800000002</v>
      </c>
      <c r="N105" s="140">
        <v>627592.05999999994</v>
      </c>
      <c r="O105" s="145">
        <f t="shared" si="68"/>
        <v>1607340.6770000001</v>
      </c>
      <c r="P105" s="140">
        <v>2034103.5730000001</v>
      </c>
      <c r="Q105" s="209">
        <v>13426581.845000001</v>
      </c>
      <c r="R105" s="140">
        <v>13224725.732999999</v>
      </c>
      <c r="S105" s="144">
        <f t="shared" si="69"/>
        <v>28685411.151000001</v>
      </c>
      <c r="T105" s="146">
        <f t="shared" si="70"/>
        <v>30292751.828000002</v>
      </c>
      <c r="U105" s="30">
        <v>425950</v>
      </c>
      <c r="V105" s="28">
        <v>838052</v>
      </c>
      <c r="W105" s="28">
        <v>1447738</v>
      </c>
      <c r="X105" s="74">
        <f>SUM(U105:W105)</f>
        <v>2711740</v>
      </c>
      <c r="Y105" s="7">
        <v>14703147</v>
      </c>
      <c r="Z105" s="7">
        <v>0</v>
      </c>
      <c r="AA105" s="19">
        <v>0</v>
      </c>
      <c r="AB105" s="74">
        <f>Y105+Z105+AA105</f>
        <v>14703147</v>
      </c>
      <c r="AC105" s="80">
        <f>X105+AB105</f>
        <v>17414887</v>
      </c>
      <c r="AD105" s="30">
        <v>325479</v>
      </c>
      <c r="AE105" s="30">
        <v>783268</v>
      </c>
      <c r="AF105" s="30">
        <v>1694522</v>
      </c>
      <c r="AG105" s="74">
        <f>SUM(AD105:AF105)</f>
        <v>2803269</v>
      </c>
      <c r="AH105" s="30">
        <v>15511068</v>
      </c>
      <c r="AI105" s="7">
        <v>0</v>
      </c>
      <c r="AJ105" s="30">
        <v>2686000</v>
      </c>
      <c r="AK105" s="74">
        <f t="shared" si="102"/>
        <v>18197068</v>
      </c>
      <c r="AL105" s="80">
        <f t="shared" si="103"/>
        <v>21000337</v>
      </c>
      <c r="AM105" s="7">
        <v>345579</v>
      </c>
      <c r="AN105" s="7">
        <v>838052</v>
      </c>
      <c r="AO105" s="7">
        <v>1447738</v>
      </c>
      <c r="AP105" s="74">
        <f>SUM(AM105:AO105)</f>
        <v>2631369</v>
      </c>
      <c r="AQ105" s="7">
        <v>16030173</v>
      </c>
      <c r="AR105" s="7">
        <v>0</v>
      </c>
      <c r="AS105" s="7">
        <v>3582000</v>
      </c>
      <c r="AT105" s="74">
        <f>AQ105+AR105+AS105</f>
        <v>19612173</v>
      </c>
      <c r="AU105" s="80">
        <f t="shared" si="100"/>
        <v>22243542</v>
      </c>
      <c r="AV105" s="7">
        <v>364820</v>
      </c>
      <c r="AW105" s="7">
        <v>838052</v>
      </c>
      <c r="AX105" s="7">
        <v>1447738</v>
      </c>
      <c r="AY105" s="98">
        <f t="shared" si="76"/>
        <v>2650610</v>
      </c>
      <c r="AZ105" s="7">
        <v>16030173</v>
      </c>
      <c r="BA105" s="7">
        <v>0</v>
      </c>
      <c r="BB105" s="19">
        <v>3582000</v>
      </c>
      <c r="BC105" s="98">
        <f t="shared" si="71"/>
        <v>19612173</v>
      </c>
      <c r="BD105" s="80">
        <f t="shared" si="72"/>
        <v>22262783</v>
      </c>
    </row>
    <row r="106" spans="1:56" ht="33" customHeight="1" thickBot="1" x14ac:dyDescent="0.3">
      <c r="A106" s="88" t="s">
        <v>40</v>
      </c>
      <c r="B106" s="6" t="s">
        <v>143</v>
      </c>
      <c r="C106" s="28">
        <v>149674.70700000002</v>
      </c>
      <c r="D106" s="28">
        <v>71314.59</v>
      </c>
      <c r="E106" s="28">
        <v>833720</v>
      </c>
      <c r="F106" s="144">
        <f>SUM(C106:E106)</f>
        <v>1054709.297</v>
      </c>
      <c r="G106" s="28">
        <v>0</v>
      </c>
      <c r="H106" s="167">
        <v>0</v>
      </c>
      <c r="I106" s="168">
        <v>0</v>
      </c>
      <c r="J106" s="144">
        <f t="shared" si="106"/>
        <v>0</v>
      </c>
      <c r="K106" s="146">
        <f t="shared" si="101"/>
        <v>1054709.297</v>
      </c>
      <c r="L106" s="140">
        <v>50443</v>
      </c>
      <c r="M106" s="140">
        <v>43072.100000000006</v>
      </c>
      <c r="N106" s="140">
        <v>258430</v>
      </c>
      <c r="O106" s="145">
        <f t="shared" si="68"/>
        <v>351945.1</v>
      </c>
      <c r="P106" s="140">
        <v>0</v>
      </c>
      <c r="Q106" s="209">
        <v>0</v>
      </c>
      <c r="R106" s="140">
        <v>0</v>
      </c>
      <c r="S106" s="144">
        <f t="shared" si="69"/>
        <v>0</v>
      </c>
      <c r="T106" s="146">
        <f t="shared" si="70"/>
        <v>351945.1</v>
      </c>
      <c r="U106" s="35">
        <v>98338</v>
      </c>
      <c r="V106" s="28">
        <v>105800</v>
      </c>
      <c r="W106" s="28">
        <v>733720</v>
      </c>
      <c r="X106" s="74">
        <f>SUM(U106:W106)</f>
        <v>937858</v>
      </c>
      <c r="Y106" s="7">
        <v>0</v>
      </c>
      <c r="Z106" s="7">
        <v>0</v>
      </c>
      <c r="AA106" s="7">
        <v>2376058</v>
      </c>
      <c r="AB106" s="74">
        <f>Y106+Z106+AA106</f>
        <v>2376058</v>
      </c>
      <c r="AC106" s="80">
        <f>X106+AB106</f>
        <v>3313916</v>
      </c>
      <c r="AD106" s="35">
        <v>60255</v>
      </c>
      <c r="AE106" s="35">
        <v>105800</v>
      </c>
      <c r="AF106" s="35">
        <v>733720</v>
      </c>
      <c r="AG106" s="74">
        <f>SUM(AD106:AF106)</f>
        <v>899775</v>
      </c>
      <c r="AH106" s="7">
        <v>0</v>
      </c>
      <c r="AI106" s="7">
        <v>0</v>
      </c>
      <c r="AJ106" s="7">
        <v>0</v>
      </c>
      <c r="AK106" s="74">
        <f t="shared" si="102"/>
        <v>0</v>
      </c>
      <c r="AL106" s="80">
        <f t="shared" si="103"/>
        <v>899775</v>
      </c>
      <c r="AM106" s="7">
        <v>58455</v>
      </c>
      <c r="AN106" s="7">
        <v>105800</v>
      </c>
      <c r="AO106" s="7">
        <v>733720</v>
      </c>
      <c r="AP106" s="74">
        <f>SUM(AM106:AO106)</f>
        <v>897975</v>
      </c>
      <c r="AQ106" s="7">
        <v>0</v>
      </c>
      <c r="AR106" s="7">
        <v>0</v>
      </c>
      <c r="AS106" s="7">
        <v>0</v>
      </c>
      <c r="AT106" s="7">
        <f>AQ106+AR106+AS106</f>
        <v>0</v>
      </c>
      <c r="AU106" s="7">
        <f t="shared" si="100"/>
        <v>897975</v>
      </c>
      <c r="AV106" s="7">
        <v>61710</v>
      </c>
      <c r="AW106" s="7">
        <v>105800</v>
      </c>
      <c r="AX106" s="7">
        <v>733720</v>
      </c>
      <c r="AY106" s="98">
        <f t="shared" si="76"/>
        <v>901230</v>
      </c>
      <c r="AZ106" s="7">
        <v>0</v>
      </c>
      <c r="BA106" s="7">
        <v>0</v>
      </c>
      <c r="BB106" s="7">
        <v>0</v>
      </c>
      <c r="BC106" s="98">
        <f t="shared" si="71"/>
        <v>0</v>
      </c>
      <c r="BD106" s="80">
        <f t="shared" si="72"/>
        <v>901230</v>
      </c>
    </row>
    <row r="107" spans="1:56" ht="17.25" thickBot="1" x14ac:dyDescent="0.3">
      <c r="A107" s="186" t="s">
        <v>144</v>
      </c>
      <c r="B107" s="187"/>
      <c r="C107" s="141">
        <f>C108+C109+C110+C111</f>
        <v>162307.88</v>
      </c>
      <c r="D107" s="141">
        <f>D108+D109+D110+D111</f>
        <v>613309.74</v>
      </c>
      <c r="E107" s="142">
        <f>E108+E109+E110+E111</f>
        <v>3746759.75</v>
      </c>
      <c r="F107" s="143">
        <f>C107+D107+E107</f>
        <v>4522377.37</v>
      </c>
      <c r="G107" s="142">
        <f>G108+G109+G110+G111</f>
        <v>89621</v>
      </c>
      <c r="H107" s="142">
        <f>H108+H109+H110+H111</f>
        <v>12059298.807326199</v>
      </c>
      <c r="I107" s="142">
        <f>I108+I109+I110+I111</f>
        <v>12059298.807326199</v>
      </c>
      <c r="J107" s="143">
        <f t="shared" ref="J107:J112" si="107">G107+H107</f>
        <v>12148919.807326199</v>
      </c>
      <c r="K107" s="146">
        <f t="shared" si="101"/>
        <v>16671297.177326199</v>
      </c>
      <c r="L107" s="141">
        <f>L108+L109+L110+L111</f>
        <v>396027.00400000002</v>
      </c>
      <c r="M107" s="141">
        <f>M108+M109+M110+M111</f>
        <v>831268.30200000003</v>
      </c>
      <c r="N107" s="141">
        <f>N108+N109+N110+N111</f>
        <v>5820000</v>
      </c>
      <c r="O107" s="143">
        <f t="shared" si="68"/>
        <v>7047295.3059999999</v>
      </c>
      <c r="P107" s="141">
        <f>P108+P109+P110+P111</f>
        <v>0</v>
      </c>
      <c r="Q107" s="141">
        <f>Q108+Q109+Q110+Q111</f>
        <v>9721444.7259999998</v>
      </c>
      <c r="R107" s="141">
        <f>R108+R109+R110+R111</f>
        <v>2763595.4339999999</v>
      </c>
      <c r="S107" s="157">
        <f t="shared" si="69"/>
        <v>12485040.16</v>
      </c>
      <c r="T107" s="146">
        <f t="shared" si="70"/>
        <v>19532335.465999998</v>
      </c>
      <c r="U107" s="5">
        <f t="shared" ref="U107:AC107" si="108">U108+U109+U110+U111</f>
        <v>354377</v>
      </c>
      <c r="V107" s="5">
        <f t="shared" si="108"/>
        <v>1696346</v>
      </c>
      <c r="W107" s="5">
        <f t="shared" si="108"/>
        <v>7350000</v>
      </c>
      <c r="X107" s="73">
        <f t="shared" si="108"/>
        <v>9400723</v>
      </c>
      <c r="Y107" s="5">
        <f t="shared" si="108"/>
        <v>0</v>
      </c>
      <c r="Z107" s="5">
        <f t="shared" si="108"/>
        <v>0</v>
      </c>
      <c r="AA107" s="5">
        <f t="shared" si="108"/>
        <v>507566</v>
      </c>
      <c r="AB107" s="73">
        <f t="shared" si="108"/>
        <v>507566</v>
      </c>
      <c r="AC107" s="80">
        <f t="shared" si="108"/>
        <v>9908289</v>
      </c>
      <c r="AD107" s="5">
        <f t="shared" ref="AD107:AT107" si="109">AD108+AD109+AD110+AD111</f>
        <v>442653</v>
      </c>
      <c r="AE107" s="5">
        <f t="shared" si="109"/>
        <v>1807346</v>
      </c>
      <c r="AF107" s="5">
        <f t="shared" si="109"/>
        <v>7389000</v>
      </c>
      <c r="AG107" s="73">
        <f t="shared" si="109"/>
        <v>9638999</v>
      </c>
      <c r="AH107" s="5">
        <f t="shared" si="109"/>
        <v>0</v>
      </c>
      <c r="AI107" s="5">
        <f t="shared" si="109"/>
        <v>2481283</v>
      </c>
      <c r="AJ107" s="5">
        <f t="shared" si="109"/>
        <v>8328000</v>
      </c>
      <c r="AK107" s="73">
        <f t="shared" si="109"/>
        <v>10809283</v>
      </c>
      <c r="AL107" s="80">
        <f t="shared" si="109"/>
        <v>20448282</v>
      </c>
      <c r="AM107" s="5">
        <f>AM108+AM109+AM110+AM111</f>
        <v>465993</v>
      </c>
      <c r="AN107" s="5">
        <f t="shared" si="109"/>
        <v>1846346</v>
      </c>
      <c r="AO107" s="5">
        <f t="shared" si="109"/>
        <v>7350000</v>
      </c>
      <c r="AP107" s="73">
        <f>AM107+AN107+AO107</f>
        <v>9662339</v>
      </c>
      <c r="AQ107" s="5">
        <f t="shared" si="109"/>
        <v>0</v>
      </c>
      <c r="AR107" s="5">
        <f>AR108+AR109+AR110+AR111</f>
        <v>984436</v>
      </c>
      <c r="AS107" s="5">
        <f t="shared" si="109"/>
        <v>7037000</v>
      </c>
      <c r="AT107" s="73">
        <f t="shared" si="109"/>
        <v>8021436</v>
      </c>
      <c r="AU107" s="80">
        <f t="shared" ref="AU107:AU112" si="110">AP107+AT107</f>
        <v>17683775</v>
      </c>
      <c r="AV107" s="5">
        <f>AV108+AV109+AV110+AV111</f>
        <v>493949</v>
      </c>
      <c r="AW107" s="5">
        <f>AW108+AW109+AW110+AW111</f>
        <v>1885346</v>
      </c>
      <c r="AX107" s="5">
        <f>AX108+AX109+AX110+AX111</f>
        <v>7311000</v>
      </c>
      <c r="AY107" s="73">
        <f t="shared" si="76"/>
        <v>9690295</v>
      </c>
      <c r="AZ107" s="5">
        <f>AZ108+AZ109+AZ110+AZ111</f>
        <v>0</v>
      </c>
      <c r="BA107" s="5">
        <f>BA108+BA109+BA110+BA111</f>
        <v>984435</v>
      </c>
      <c r="BB107" s="5">
        <f>BB108+BB109+BB110+BB111</f>
        <v>3968000</v>
      </c>
      <c r="BC107" s="73">
        <f t="shared" si="71"/>
        <v>4952435</v>
      </c>
      <c r="BD107" s="80">
        <f t="shared" si="72"/>
        <v>14642730</v>
      </c>
    </row>
    <row r="108" spans="1:56" ht="17.25" thickBot="1" x14ac:dyDescent="0.3">
      <c r="A108" s="88" t="s">
        <v>70</v>
      </c>
      <c r="B108" s="6" t="s">
        <v>145</v>
      </c>
      <c r="C108" s="28">
        <v>136359.318</v>
      </c>
      <c r="D108" s="28">
        <v>515784.65500000003</v>
      </c>
      <c r="E108" s="28">
        <v>5000</v>
      </c>
      <c r="F108" s="144">
        <f>SUM(C108:E108)</f>
        <v>657143.973</v>
      </c>
      <c r="G108" s="28">
        <v>89621</v>
      </c>
      <c r="H108" s="28">
        <v>0</v>
      </c>
      <c r="I108" s="140">
        <v>0</v>
      </c>
      <c r="J108" s="144">
        <f t="shared" si="107"/>
        <v>89621</v>
      </c>
      <c r="K108" s="146">
        <f t="shared" si="101"/>
        <v>746764.973</v>
      </c>
      <c r="L108" s="140">
        <v>366662.61200000002</v>
      </c>
      <c r="M108" s="140">
        <v>708007.98800000001</v>
      </c>
      <c r="N108" s="140">
        <v>65000</v>
      </c>
      <c r="O108" s="145">
        <f t="shared" si="68"/>
        <v>1139670.6000000001</v>
      </c>
      <c r="P108" s="30">
        <v>0</v>
      </c>
      <c r="Q108" s="209">
        <v>0</v>
      </c>
      <c r="R108" s="140">
        <v>0</v>
      </c>
      <c r="S108" s="144">
        <f t="shared" si="69"/>
        <v>0</v>
      </c>
      <c r="T108" s="146">
        <f t="shared" si="70"/>
        <v>1139670.6000000001</v>
      </c>
      <c r="U108" s="28">
        <v>321581</v>
      </c>
      <c r="V108" s="28">
        <v>1354446</v>
      </c>
      <c r="W108" s="28">
        <v>65000</v>
      </c>
      <c r="X108" s="74">
        <f>SUM(U108:W108)</f>
        <v>1741027</v>
      </c>
      <c r="Y108" s="7">
        <v>0</v>
      </c>
      <c r="Z108" s="7">
        <v>0</v>
      </c>
      <c r="AA108" s="7">
        <v>0</v>
      </c>
      <c r="AB108" s="74">
        <f>Y108+Z108+AA108</f>
        <v>0</v>
      </c>
      <c r="AC108" s="80">
        <f t="shared" ref="AC108:AC116" si="111">X108+AB108</f>
        <v>1741027</v>
      </c>
      <c r="AD108" s="28">
        <v>365910</v>
      </c>
      <c r="AE108" s="28">
        <v>1192346</v>
      </c>
      <c r="AF108" s="28">
        <v>310000</v>
      </c>
      <c r="AG108" s="74">
        <f>SUM(AD108:AF108)</f>
        <v>1868256</v>
      </c>
      <c r="AH108" s="28"/>
      <c r="AI108" s="28"/>
      <c r="AJ108" s="28"/>
      <c r="AK108" s="74">
        <f t="shared" si="102"/>
        <v>0</v>
      </c>
      <c r="AL108" s="80">
        <f t="shared" si="103"/>
        <v>1868256</v>
      </c>
      <c r="AM108" s="7">
        <v>385035</v>
      </c>
      <c r="AN108" s="7">
        <v>1231346</v>
      </c>
      <c r="AO108" s="7">
        <v>271000</v>
      </c>
      <c r="AP108" s="74">
        <f>SUM(AM108:AO108)</f>
        <v>1887381</v>
      </c>
      <c r="AQ108" s="7">
        <v>0</v>
      </c>
      <c r="AR108" s="7">
        <v>0</v>
      </c>
      <c r="AS108" s="7">
        <v>0</v>
      </c>
      <c r="AT108" s="74">
        <f>AQ108+AR108+AS108</f>
        <v>0</v>
      </c>
      <c r="AU108" s="80">
        <f t="shared" si="110"/>
        <v>1887381</v>
      </c>
      <c r="AV108" s="7">
        <v>407944</v>
      </c>
      <c r="AW108" s="7">
        <v>1270346</v>
      </c>
      <c r="AX108" s="7">
        <v>232000</v>
      </c>
      <c r="AY108" s="98">
        <f t="shared" si="76"/>
        <v>1910290</v>
      </c>
      <c r="AZ108" s="7">
        <v>0</v>
      </c>
      <c r="BA108" s="7">
        <v>0</v>
      </c>
      <c r="BB108" s="7">
        <v>0</v>
      </c>
      <c r="BC108" s="98">
        <f t="shared" si="71"/>
        <v>0</v>
      </c>
      <c r="BD108" s="80">
        <f t="shared" si="72"/>
        <v>1910290</v>
      </c>
    </row>
    <row r="109" spans="1:56" ht="17.25" thickBot="1" x14ac:dyDescent="0.3">
      <c r="A109" s="88" t="s">
        <v>72</v>
      </c>
      <c r="B109" s="6" t="s">
        <v>146</v>
      </c>
      <c r="C109" s="28">
        <v>12333.847</v>
      </c>
      <c r="D109" s="28">
        <v>31256.766</v>
      </c>
      <c r="E109" s="28">
        <v>1500000</v>
      </c>
      <c r="F109" s="144">
        <f>SUM(C109:E109)</f>
        <v>1543590.6129999999</v>
      </c>
      <c r="G109" s="28">
        <v>0</v>
      </c>
      <c r="H109" s="28">
        <v>12059298.807326199</v>
      </c>
      <c r="I109" s="140">
        <v>12059298.807326199</v>
      </c>
      <c r="J109" s="144">
        <f t="shared" si="107"/>
        <v>12059298.807326199</v>
      </c>
      <c r="K109" s="146">
        <f t="shared" si="101"/>
        <v>13602889.420326199</v>
      </c>
      <c r="L109" s="140">
        <v>0</v>
      </c>
      <c r="M109" s="140">
        <v>39727.478000000003</v>
      </c>
      <c r="N109" s="140">
        <v>2000000</v>
      </c>
      <c r="O109" s="145">
        <f t="shared" si="68"/>
        <v>2039727.4780000001</v>
      </c>
      <c r="P109" s="30">
        <v>0</v>
      </c>
      <c r="Q109" s="209">
        <v>9721444.7259999998</v>
      </c>
      <c r="R109" s="140">
        <v>2763595.4339999999</v>
      </c>
      <c r="S109" s="144">
        <f t="shared" si="69"/>
        <v>12485040.16</v>
      </c>
      <c r="T109" s="146">
        <f t="shared" si="70"/>
        <v>14524767.638</v>
      </c>
      <c r="U109" s="30">
        <v>8100</v>
      </c>
      <c r="V109" s="28">
        <v>91900</v>
      </c>
      <c r="W109" s="28">
        <v>2047000</v>
      </c>
      <c r="X109" s="74">
        <f>SUM(U109:W109)</f>
        <v>2147000</v>
      </c>
      <c r="Y109" s="7">
        <v>0</v>
      </c>
      <c r="Z109" s="7">
        <v>0</v>
      </c>
      <c r="AA109" s="7">
        <v>0</v>
      </c>
      <c r="AB109" s="74">
        <f>Y109+Z109+AA109</f>
        <v>0</v>
      </c>
      <c r="AC109" s="80">
        <f t="shared" si="111"/>
        <v>2147000</v>
      </c>
      <c r="AD109" s="30">
        <v>20636</v>
      </c>
      <c r="AE109" s="30">
        <v>200000</v>
      </c>
      <c r="AF109" s="30">
        <v>2000000</v>
      </c>
      <c r="AG109" s="74">
        <f>SUM(AD109:AF109)</f>
        <v>2220636</v>
      </c>
      <c r="AH109" s="30">
        <v>0</v>
      </c>
      <c r="AI109" s="30">
        <v>1496847</v>
      </c>
      <c r="AJ109" s="30">
        <v>6228000</v>
      </c>
      <c r="AK109" s="74">
        <f t="shared" si="102"/>
        <v>7724847</v>
      </c>
      <c r="AL109" s="80">
        <f t="shared" si="103"/>
        <v>9945483</v>
      </c>
      <c r="AM109" s="7">
        <v>21418</v>
      </c>
      <c r="AN109" s="7">
        <v>200000</v>
      </c>
      <c r="AO109" s="7">
        <v>2000000</v>
      </c>
      <c r="AP109" s="74">
        <f>SUM(AM109:AO109)</f>
        <v>2221418</v>
      </c>
      <c r="AQ109" s="7">
        <v>0</v>
      </c>
      <c r="AR109" s="7">
        <v>0</v>
      </c>
      <c r="AS109" s="7">
        <v>4937000</v>
      </c>
      <c r="AT109" s="74">
        <f>AQ109+AR109+AS109</f>
        <v>4937000</v>
      </c>
      <c r="AU109" s="80">
        <f t="shared" si="110"/>
        <v>7158418</v>
      </c>
      <c r="AV109" s="7">
        <v>22352</v>
      </c>
      <c r="AW109" s="7">
        <v>200000</v>
      </c>
      <c r="AX109" s="7">
        <v>2000000</v>
      </c>
      <c r="AY109" s="98">
        <f t="shared" si="76"/>
        <v>2222352</v>
      </c>
      <c r="AZ109" s="7">
        <v>0</v>
      </c>
      <c r="BA109" s="7">
        <v>0</v>
      </c>
      <c r="BB109" s="7">
        <v>2000000</v>
      </c>
      <c r="BC109" s="98">
        <f t="shared" si="71"/>
        <v>2000000</v>
      </c>
      <c r="BD109" s="80">
        <f t="shared" si="72"/>
        <v>4222352</v>
      </c>
    </row>
    <row r="110" spans="1:56" ht="17.25" thickBot="1" x14ac:dyDescent="0.3">
      <c r="A110" s="88" t="s">
        <v>262</v>
      </c>
      <c r="B110" s="6" t="s">
        <v>147</v>
      </c>
      <c r="C110" s="28">
        <v>305</v>
      </c>
      <c r="D110" s="28">
        <v>30954.444</v>
      </c>
      <c r="E110" s="28">
        <v>1303500</v>
      </c>
      <c r="F110" s="144">
        <f>SUM(C110:E110)</f>
        <v>1334759.4439999999</v>
      </c>
      <c r="G110" s="28">
        <v>0</v>
      </c>
      <c r="H110" s="28">
        <v>0</v>
      </c>
      <c r="I110" s="140">
        <v>0</v>
      </c>
      <c r="J110" s="144">
        <f t="shared" si="107"/>
        <v>0</v>
      </c>
      <c r="K110" s="146">
        <f t="shared" si="101"/>
        <v>1334759.4439999999</v>
      </c>
      <c r="L110" s="140">
        <v>29364.392</v>
      </c>
      <c r="M110" s="140">
        <v>34527.902999999998</v>
      </c>
      <c r="N110" s="140">
        <v>1870000</v>
      </c>
      <c r="O110" s="145">
        <f t="shared" si="68"/>
        <v>1933892.2949999999</v>
      </c>
      <c r="P110" s="30"/>
      <c r="Q110" s="209">
        <v>0</v>
      </c>
      <c r="R110" s="140">
        <v>0</v>
      </c>
      <c r="S110" s="144">
        <f t="shared" si="69"/>
        <v>0</v>
      </c>
      <c r="T110" s="146">
        <f t="shared" si="70"/>
        <v>1933892.2949999999</v>
      </c>
      <c r="U110" s="30">
        <v>24696</v>
      </c>
      <c r="V110" s="28">
        <v>100000</v>
      </c>
      <c r="W110" s="28">
        <v>2700000</v>
      </c>
      <c r="X110" s="74">
        <f>SUM(U110:W110)</f>
        <v>2824696</v>
      </c>
      <c r="Y110" s="7"/>
      <c r="Z110" s="7"/>
      <c r="AA110" s="7"/>
      <c r="AB110" s="74">
        <f>Y110+Z110+AA110</f>
        <v>0</v>
      </c>
      <c r="AC110" s="80">
        <f t="shared" si="111"/>
        <v>2824696</v>
      </c>
      <c r="AD110" s="30">
        <v>24105</v>
      </c>
      <c r="AE110" s="30">
        <v>200000</v>
      </c>
      <c r="AF110" s="30">
        <v>2700000</v>
      </c>
      <c r="AG110" s="74">
        <f>SUM(AD110:AF110)</f>
        <v>2924105</v>
      </c>
      <c r="AH110" s="30"/>
      <c r="AI110" s="30"/>
      <c r="AJ110" s="30"/>
      <c r="AK110" s="74">
        <f t="shared" si="102"/>
        <v>0</v>
      </c>
      <c r="AL110" s="80">
        <f t="shared" si="103"/>
        <v>2924105</v>
      </c>
      <c r="AM110" s="7">
        <v>25565</v>
      </c>
      <c r="AN110" s="7">
        <v>200000</v>
      </c>
      <c r="AO110" s="7">
        <v>2700000</v>
      </c>
      <c r="AP110" s="74">
        <f>SUM(AM110:AO110)</f>
        <v>2925565</v>
      </c>
      <c r="AQ110" s="7"/>
      <c r="AR110" s="7"/>
      <c r="AS110" s="7"/>
      <c r="AT110" s="74">
        <f>AQ110+AR110+AS110</f>
        <v>0</v>
      </c>
      <c r="AU110" s="80">
        <f t="shared" si="110"/>
        <v>2925565</v>
      </c>
      <c r="AV110" s="7">
        <v>27314</v>
      </c>
      <c r="AW110" s="7">
        <v>200000</v>
      </c>
      <c r="AX110" s="7">
        <v>2700000</v>
      </c>
      <c r="AY110" s="98">
        <f t="shared" si="76"/>
        <v>2927314</v>
      </c>
      <c r="AZ110" s="7">
        <v>0</v>
      </c>
      <c r="BA110" s="7">
        <v>0</v>
      </c>
      <c r="BB110" s="7">
        <v>0</v>
      </c>
      <c r="BC110" s="98">
        <f t="shared" si="71"/>
        <v>0</v>
      </c>
      <c r="BD110" s="80">
        <f t="shared" si="72"/>
        <v>2927314</v>
      </c>
    </row>
    <row r="111" spans="1:56" ht="17.25" thickBot="1" x14ac:dyDescent="0.3">
      <c r="A111" s="88" t="s">
        <v>263</v>
      </c>
      <c r="B111" s="6" t="s">
        <v>264</v>
      </c>
      <c r="C111" s="28">
        <v>13309.715</v>
      </c>
      <c r="D111" s="28">
        <v>35313.875</v>
      </c>
      <c r="E111" s="28">
        <v>938259.75</v>
      </c>
      <c r="F111" s="144">
        <f>SUM(C111:E111)</f>
        <v>986883.34</v>
      </c>
      <c r="G111" s="28">
        <v>0</v>
      </c>
      <c r="H111" s="28">
        <v>0</v>
      </c>
      <c r="I111" s="140">
        <v>0</v>
      </c>
      <c r="J111" s="144">
        <f t="shared" si="107"/>
        <v>0</v>
      </c>
      <c r="K111" s="146">
        <f t="shared" si="101"/>
        <v>986883.34</v>
      </c>
      <c r="L111" s="140">
        <v>0</v>
      </c>
      <c r="M111" s="140">
        <v>49004.932999999997</v>
      </c>
      <c r="N111" s="140">
        <v>1885000</v>
      </c>
      <c r="O111" s="145">
        <f t="shared" si="68"/>
        <v>1934004.933</v>
      </c>
      <c r="P111" s="30">
        <v>0</v>
      </c>
      <c r="Q111" s="209">
        <v>0</v>
      </c>
      <c r="R111" s="140">
        <v>0</v>
      </c>
      <c r="S111" s="157">
        <f t="shared" si="69"/>
        <v>0</v>
      </c>
      <c r="T111" s="146">
        <f t="shared" si="70"/>
        <v>1934004.933</v>
      </c>
      <c r="U111" s="35">
        <v>0</v>
      </c>
      <c r="V111" s="28">
        <v>150000</v>
      </c>
      <c r="W111" s="28">
        <v>2538000</v>
      </c>
      <c r="X111" s="74">
        <f>SUM(U111:W111)</f>
        <v>2688000</v>
      </c>
      <c r="Y111" s="7">
        <v>0</v>
      </c>
      <c r="Z111" s="7">
        <v>0</v>
      </c>
      <c r="AA111" s="7">
        <v>507566</v>
      </c>
      <c r="AB111" s="74">
        <f>Y111+Z111+AA111</f>
        <v>507566</v>
      </c>
      <c r="AC111" s="80">
        <f t="shared" si="111"/>
        <v>3195566</v>
      </c>
      <c r="AD111" s="35">
        <v>32002</v>
      </c>
      <c r="AE111" s="35">
        <v>215000</v>
      </c>
      <c r="AF111" s="35">
        <v>2379000</v>
      </c>
      <c r="AG111" s="74">
        <f>SUM(AD111:AF111)</f>
        <v>2626002</v>
      </c>
      <c r="AH111" s="35">
        <v>0</v>
      </c>
      <c r="AI111" s="35">
        <v>984436</v>
      </c>
      <c r="AJ111" s="35">
        <v>2100000</v>
      </c>
      <c r="AK111" s="74">
        <f t="shared" si="102"/>
        <v>3084436</v>
      </c>
      <c r="AL111" s="80">
        <f t="shared" si="103"/>
        <v>5710438</v>
      </c>
      <c r="AM111" s="7">
        <v>33975</v>
      </c>
      <c r="AN111" s="7">
        <v>215000</v>
      </c>
      <c r="AO111" s="19">
        <v>2379000</v>
      </c>
      <c r="AP111" s="74">
        <f>SUM(AM111:AO111)</f>
        <v>2627975</v>
      </c>
      <c r="AQ111" s="7">
        <v>0</v>
      </c>
      <c r="AR111" s="7">
        <v>984436</v>
      </c>
      <c r="AS111" s="7">
        <v>2100000</v>
      </c>
      <c r="AT111" s="74">
        <f>AQ111+AR111+AS111</f>
        <v>3084436</v>
      </c>
      <c r="AU111" s="80">
        <f t="shared" si="110"/>
        <v>5712411</v>
      </c>
      <c r="AV111" s="7">
        <v>36339</v>
      </c>
      <c r="AW111" s="7">
        <v>215000</v>
      </c>
      <c r="AX111" s="7">
        <v>2379000</v>
      </c>
      <c r="AY111" s="98">
        <f t="shared" si="76"/>
        <v>2630339</v>
      </c>
      <c r="AZ111" s="7">
        <v>0</v>
      </c>
      <c r="BA111" s="7">
        <v>984435</v>
      </c>
      <c r="BB111" s="7">
        <v>1968000</v>
      </c>
      <c r="BC111" s="98">
        <f t="shared" si="71"/>
        <v>2952435</v>
      </c>
      <c r="BD111" s="80">
        <f t="shared" si="72"/>
        <v>5582774</v>
      </c>
    </row>
    <row r="112" spans="1:56" ht="17.25" thickBot="1" x14ac:dyDescent="0.3">
      <c r="A112" s="178" t="s">
        <v>265</v>
      </c>
      <c r="B112" s="179"/>
      <c r="C112" s="141">
        <f>C113+C115+C116</f>
        <v>64578.057999999997</v>
      </c>
      <c r="D112" s="141">
        <f>D113+D115+D116</f>
        <v>1406822.845</v>
      </c>
      <c r="E112" s="142">
        <f>E113+E115+E116</f>
        <v>53567.142</v>
      </c>
      <c r="F112" s="143">
        <f>C112+D112+E112</f>
        <v>1524968.0449999999</v>
      </c>
      <c r="G112" s="142">
        <f>G113+G115+G116</f>
        <v>45246274.530000009</v>
      </c>
      <c r="H112" s="169">
        <f>H113+H115+H116</f>
        <v>19273813.77751575</v>
      </c>
      <c r="I112" s="170">
        <f>I113+I115+I116</f>
        <v>15680116</v>
      </c>
      <c r="J112" s="143">
        <f t="shared" si="107"/>
        <v>64520088.307515755</v>
      </c>
      <c r="K112" s="146">
        <f t="shared" si="101"/>
        <v>66045056.352515757</v>
      </c>
      <c r="L112" s="141">
        <f>L113+L115+L116</f>
        <v>1023086.183</v>
      </c>
      <c r="M112" s="141">
        <f>M113+M115+M116</f>
        <v>1166427.9350000001</v>
      </c>
      <c r="N112" s="141">
        <f>N113+N115+N116</f>
        <v>79500</v>
      </c>
      <c r="O112" s="143">
        <f t="shared" si="68"/>
        <v>2269014.1179999998</v>
      </c>
      <c r="P112" s="141">
        <f>P113+P115+P116</f>
        <v>51517723.648999996</v>
      </c>
      <c r="Q112" s="141">
        <f>Q113+Q115+Q116</f>
        <v>0</v>
      </c>
      <c r="R112" s="141">
        <f>R113+R115+R116</f>
        <v>23188331.677909032</v>
      </c>
      <c r="S112" s="157">
        <f t="shared" si="69"/>
        <v>74706055.326909035</v>
      </c>
      <c r="T112" s="146">
        <f t="shared" si="70"/>
        <v>76975069.444909036</v>
      </c>
      <c r="U112" s="5">
        <f t="shared" ref="U112:AB112" si="112">U113+U114+U115+U116</f>
        <v>1811499</v>
      </c>
      <c r="V112" s="5">
        <f t="shared" si="112"/>
        <v>2141294</v>
      </c>
      <c r="W112" s="5">
        <f t="shared" si="112"/>
        <v>110000</v>
      </c>
      <c r="X112" s="5">
        <f t="shared" si="112"/>
        <v>4062793</v>
      </c>
      <c r="Y112" s="5">
        <f t="shared" si="112"/>
        <v>88373033</v>
      </c>
      <c r="Z112" s="5">
        <f t="shared" si="112"/>
        <v>11743320</v>
      </c>
      <c r="AA112" s="5">
        <f t="shared" si="112"/>
        <v>61771660</v>
      </c>
      <c r="AB112" s="5">
        <f t="shared" si="112"/>
        <v>161888013</v>
      </c>
      <c r="AC112" s="5">
        <f t="shared" si="111"/>
        <v>165950806</v>
      </c>
      <c r="AD112" s="5">
        <f t="shared" ref="AD112:AK112" si="113">AD113+AD114+AD115+AD116</f>
        <v>1776469</v>
      </c>
      <c r="AE112" s="5">
        <f t="shared" si="113"/>
        <v>2141294</v>
      </c>
      <c r="AF112" s="5">
        <f t="shared" si="113"/>
        <v>110000</v>
      </c>
      <c r="AG112" s="5">
        <f t="shared" si="113"/>
        <v>4027763</v>
      </c>
      <c r="AH112" s="5">
        <f t="shared" si="113"/>
        <v>86678827</v>
      </c>
      <c r="AI112" s="5">
        <f t="shared" si="113"/>
        <v>19467580</v>
      </c>
      <c r="AJ112" s="5">
        <f t="shared" si="113"/>
        <v>92972000</v>
      </c>
      <c r="AK112" s="5">
        <f t="shared" si="113"/>
        <v>199118407</v>
      </c>
      <c r="AL112" s="5">
        <f>AG112+AK112</f>
        <v>203146170</v>
      </c>
      <c r="AM112" s="5">
        <f>AM113+AM114+AM115+AM116</f>
        <v>1852341</v>
      </c>
      <c r="AN112" s="5">
        <f>AN113+AN114+AN115+AN116</f>
        <v>2141294</v>
      </c>
      <c r="AO112" s="5">
        <f>AO113+AO114+AO115+AO116</f>
        <v>110000</v>
      </c>
      <c r="AP112" s="73">
        <f>AM112+AN112+AO112</f>
        <v>4103635</v>
      </c>
      <c r="AQ112" s="5">
        <f>AQ113+AQ114+AQ115+AQ116</f>
        <v>92553345</v>
      </c>
      <c r="AR112" s="5">
        <f>AR113+AR114+AR115+AR116</f>
        <v>16678544</v>
      </c>
      <c r="AS112" s="5">
        <f>AS113+AS114+AS115+AS116</f>
        <v>115124000</v>
      </c>
      <c r="AT112" s="73">
        <f>AQ112+AR112+AS112</f>
        <v>224355889</v>
      </c>
      <c r="AU112" s="80">
        <f t="shared" si="110"/>
        <v>228459524</v>
      </c>
      <c r="AV112" s="5">
        <f>AV113+AV114+AV115+AV116</f>
        <v>1929492</v>
      </c>
      <c r="AW112" s="5">
        <f>AW113+AW114+AW115+AW116</f>
        <v>2141294</v>
      </c>
      <c r="AX112" s="5">
        <f>AX113+AX114+AX115+AX116</f>
        <v>110000</v>
      </c>
      <c r="AY112" s="73">
        <f t="shared" si="76"/>
        <v>4180786</v>
      </c>
      <c r="AZ112" s="5">
        <f>AZ113+AZ114+AZ115+AZ116</f>
        <v>110118863</v>
      </c>
      <c r="BA112" s="5">
        <f>BA113+BA114+BA115+BA116</f>
        <v>9744812</v>
      </c>
      <c r="BB112" s="5">
        <f>BB113+BB114+BB115+BB116</f>
        <v>112844000</v>
      </c>
      <c r="BC112" s="73">
        <f>AZ112+BA112+BB112</f>
        <v>232707675</v>
      </c>
      <c r="BD112" s="80">
        <f t="shared" si="72"/>
        <v>236888461</v>
      </c>
    </row>
    <row r="113" spans="1:56" ht="17.25" thickBot="1" x14ac:dyDescent="0.3">
      <c r="A113" s="88" t="s">
        <v>266</v>
      </c>
      <c r="B113" s="6" t="s">
        <v>250</v>
      </c>
      <c r="C113" s="28">
        <v>52318.786</v>
      </c>
      <c r="D113" s="28">
        <v>1338989.773</v>
      </c>
      <c r="E113" s="28">
        <v>48567.142</v>
      </c>
      <c r="F113" s="144">
        <f>SUM(C113:E113)</f>
        <v>1439875.7010000001</v>
      </c>
      <c r="G113" s="28">
        <v>0</v>
      </c>
      <c r="H113" s="28">
        <v>0</v>
      </c>
      <c r="I113" s="28">
        <v>0</v>
      </c>
      <c r="J113" s="144">
        <f>SUM(G113:I113)</f>
        <v>0</v>
      </c>
      <c r="K113" s="146">
        <f t="shared" si="101"/>
        <v>1439875.7010000001</v>
      </c>
      <c r="L113" s="140">
        <v>653804.84499999997</v>
      </c>
      <c r="M113" s="140">
        <v>1094111.0090000001</v>
      </c>
      <c r="N113" s="140">
        <v>72000</v>
      </c>
      <c r="O113" s="145">
        <f t="shared" si="68"/>
        <v>1819915.8540000001</v>
      </c>
      <c r="P113" s="30">
        <v>0</v>
      </c>
      <c r="Q113" s="30">
        <v>0</v>
      </c>
      <c r="R113" s="30">
        <v>0</v>
      </c>
      <c r="S113" s="144">
        <f t="shared" si="69"/>
        <v>0</v>
      </c>
      <c r="T113" s="146">
        <f t="shared" si="70"/>
        <v>1819915.8540000001</v>
      </c>
      <c r="U113" s="28">
        <v>1699663</v>
      </c>
      <c r="V113" s="28">
        <v>1960542</v>
      </c>
      <c r="W113" s="28">
        <v>0</v>
      </c>
      <c r="X113" s="74">
        <f>SUM(U113:W113)</f>
        <v>3660205</v>
      </c>
      <c r="Y113" s="7">
        <v>2299190</v>
      </c>
      <c r="Z113" s="7">
        <v>0</v>
      </c>
      <c r="AA113" s="7">
        <v>0</v>
      </c>
      <c r="AB113" s="74">
        <f>SUM(Y113:AA113)</f>
        <v>2299190</v>
      </c>
      <c r="AC113" s="80">
        <f t="shared" si="111"/>
        <v>5959395</v>
      </c>
      <c r="AD113" s="28">
        <v>1299236</v>
      </c>
      <c r="AE113" s="28">
        <v>1953642</v>
      </c>
      <c r="AF113" s="28">
        <v>0</v>
      </c>
      <c r="AG113" s="74">
        <f>SUM(AD113:AF113)</f>
        <v>3252878</v>
      </c>
      <c r="AH113" s="28">
        <v>1541769</v>
      </c>
      <c r="AI113" s="28"/>
      <c r="AJ113" s="28"/>
      <c r="AK113" s="74">
        <f>SUM(AH113:AJ113)</f>
        <v>1541769</v>
      </c>
      <c r="AL113" s="80">
        <f t="shared" si="103"/>
        <v>4794647</v>
      </c>
      <c r="AM113" s="7">
        <v>1725425</v>
      </c>
      <c r="AN113" s="7">
        <v>1960542</v>
      </c>
      <c r="AO113" s="7">
        <v>0</v>
      </c>
      <c r="AP113" s="74">
        <f>SUM(AM113:AO113)</f>
        <v>3685967</v>
      </c>
      <c r="AQ113" s="19">
        <v>1112558</v>
      </c>
      <c r="AR113" s="7">
        <v>0</v>
      </c>
      <c r="AS113" s="7">
        <v>0</v>
      </c>
      <c r="AT113" s="74">
        <f>SUM(AQ113:AS113)</f>
        <v>1112558</v>
      </c>
      <c r="AU113" s="80">
        <f t="shared" ref="AU113:AU122" si="114">AP113+AT113</f>
        <v>4798525</v>
      </c>
      <c r="AV113" s="7">
        <v>1794020</v>
      </c>
      <c r="AW113" s="7">
        <v>1960542</v>
      </c>
      <c r="AX113" s="7">
        <v>0</v>
      </c>
      <c r="AY113" s="98">
        <f t="shared" si="76"/>
        <v>3754562</v>
      </c>
      <c r="AZ113" s="7">
        <v>1112557</v>
      </c>
      <c r="BA113" s="7"/>
      <c r="BB113" s="7"/>
      <c r="BC113" s="98">
        <f t="shared" si="71"/>
        <v>1112557</v>
      </c>
      <c r="BD113" s="80">
        <f t="shared" si="72"/>
        <v>4867119</v>
      </c>
    </row>
    <row r="114" spans="1:56" ht="17.25" thickBot="1" x14ac:dyDescent="0.3">
      <c r="A114" s="88" t="s">
        <v>139</v>
      </c>
      <c r="B114" s="6" t="s">
        <v>121</v>
      </c>
      <c r="C114" s="28"/>
      <c r="D114" s="28"/>
      <c r="E114" s="28"/>
      <c r="F114" s="144"/>
      <c r="G114" s="28"/>
      <c r="H114" s="28"/>
      <c r="I114" s="28"/>
      <c r="J114" s="144"/>
      <c r="K114" s="146"/>
      <c r="L114" s="36"/>
      <c r="M114" s="28"/>
      <c r="N114" s="28"/>
      <c r="O114" s="145">
        <f t="shared" si="68"/>
        <v>0</v>
      </c>
      <c r="P114" s="30"/>
      <c r="Q114" s="30"/>
      <c r="R114" s="30"/>
      <c r="S114" s="144">
        <f t="shared" si="69"/>
        <v>0</v>
      </c>
      <c r="T114" s="146">
        <f t="shared" si="70"/>
        <v>0</v>
      </c>
      <c r="U114" s="36">
        <v>40551</v>
      </c>
      <c r="V114" s="28">
        <v>55252</v>
      </c>
      <c r="W114" s="28">
        <v>100000</v>
      </c>
      <c r="X114" s="74">
        <f>SUM(U114:W114)</f>
        <v>195803</v>
      </c>
      <c r="Y114" s="7">
        <v>24125237</v>
      </c>
      <c r="Z114" s="7">
        <v>6649658</v>
      </c>
      <c r="AA114" s="7">
        <v>33579875</v>
      </c>
      <c r="AB114" s="74">
        <f>SUM(Y114:AA114)</f>
        <v>64354770</v>
      </c>
      <c r="AC114" s="80">
        <f t="shared" si="111"/>
        <v>64550573</v>
      </c>
      <c r="AD114" s="36">
        <v>102383</v>
      </c>
      <c r="AE114" s="36">
        <v>62152</v>
      </c>
      <c r="AF114" s="36">
        <v>100000</v>
      </c>
      <c r="AG114" s="74">
        <f>SUM(AD114:AF114)</f>
        <v>264535</v>
      </c>
      <c r="AH114" s="36">
        <v>22552705</v>
      </c>
      <c r="AI114" s="36">
        <v>6676044</v>
      </c>
      <c r="AJ114" s="36">
        <f>3481425+73489575</f>
        <v>76971000</v>
      </c>
      <c r="AK114" s="74">
        <f>SUM(AH114:AJ114)</f>
        <v>106199749</v>
      </c>
      <c r="AL114" s="80">
        <f t="shared" si="103"/>
        <v>106464284</v>
      </c>
      <c r="AM114" s="7">
        <v>48513</v>
      </c>
      <c r="AN114" s="7">
        <v>55252</v>
      </c>
      <c r="AO114" s="7">
        <v>100000</v>
      </c>
      <c r="AP114" s="74">
        <f>SUM(AM114:AO114)</f>
        <v>203765</v>
      </c>
      <c r="AQ114" s="7">
        <f>800000+24351390</f>
        <v>25151390</v>
      </c>
      <c r="AR114" s="7">
        <v>6676044</v>
      </c>
      <c r="AS114" s="7">
        <f>3000000+64055000</f>
        <v>67055000</v>
      </c>
      <c r="AT114" s="74">
        <f>SUM(AQ114:AS114)</f>
        <v>98882434</v>
      </c>
      <c r="AU114" s="80">
        <f t="shared" si="114"/>
        <v>99086199</v>
      </c>
      <c r="AV114" s="7">
        <v>51783</v>
      </c>
      <c r="AW114" s="7">
        <v>55252</v>
      </c>
      <c r="AX114" s="7">
        <v>100000</v>
      </c>
      <c r="AY114" s="98">
        <f t="shared" si="76"/>
        <v>207035</v>
      </c>
      <c r="AZ114" s="7">
        <f>4000000+26377681</f>
        <v>30377681</v>
      </c>
      <c r="BA114" s="7">
        <f>3996241</f>
        <v>3996241</v>
      </c>
      <c r="BB114" s="7">
        <f>4000000+19670000</f>
        <v>23670000</v>
      </c>
      <c r="BC114" s="98">
        <f t="shared" si="71"/>
        <v>58043922</v>
      </c>
      <c r="BD114" s="80">
        <f t="shared" si="72"/>
        <v>58250957</v>
      </c>
    </row>
    <row r="115" spans="1:56" ht="17.25" thickBot="1" x14ac:dyDescent="0.3">
      <c r="A115" s="88" t="s">
        <v>116</v>
      </c>
      <c r="B115" s="6" t="s">
        <v>149</v>
      </c>
      <c r="C115" s="28">
        <v>0</v>
      </c>
      <c r="D115" s="28">
        <v>32999</v>
      </c>
      <c r="E115" s="28">
        <v>0</v>
      </c>
      <c r="F115" s="144">
        <f>SUM(C115:E115)</f>
        <v>32999</v>
      </c>
      <c r="G115" s="28">
        <v>38273157.515000008</v>
      </c>
      <c r="H115" s="140">
        <v>19273813.77751575</v>
      </c>
      <c r="I115" s="28">
        <v>15680116</v>
      </c>
      <c r="J115" s="144">
        <f>G115+H115</f>
        <v>57546971.292515755</v>
      </c>
      <c r="K115" s="146">
        <f t="shared" ref="K115:K120" si="115">F115+J115</f>
        <v>57579970.292515755</v>
      </c>
      <c r="L115" s="140">
        <v>152594.788</v>
      </c>
      <c r="M115" s="140">
        <v>42316.925999999992</v>
      </c>
      <c r="N115" s="140">
        <v>0</v>
      </c>
      <c r="O115" s="145">
        <f t="shared" si="68"/>
        <v>194911.71399999998</v>
      </c>
      <c r="P115" s="140">
        <v>49999026.211999997</v>
      </c>
      <c r="Q115" s="30">
        <v>0</v>
      </c>
      <c r="R115" s="210">
        <v>3782764.86190903</v>
      </c>
      <c r="S115" s="144">
        <f t="shared" si="69"/>
        <v>53781791.073909029</v>
      </c>
      <c r="T115" s="146">
        <f t="shared" si="70"/>
        <v>53976702.787909031</v>
      </c>
      <c r="U115" s="30">
        <v>42487</v>
      </c>
      <c r="V115" s="28">
        <v>76000</v>
      </c>
      <c r="W115" s="28">
        <v>0</v>
      </c>
      <c r="X115" s="74">
        <f>SUM(U115:W115)</f>
        <v>118487</v>
      </c>
      <c r="Y115" s="7">
        <v>60798606</v>
      </c>
      <c r="Z115" s="7">
        <v>5093662</v>
      </c>
      <c r="AA115" s="7">
        <v>28191785</v>
      </c>
      <c r="AB115" s="74">
        <f>SUM(Y115:AA115)</f>
        <v>94084053</v>
      </c>
      <c r="AC115" s="80">
        <f t="shared" si="111"/>
        <v>94202540</v>
      </c>
      <c r="AD115" s="30">
        <v>169149</v>
      </c>
      <c r="AE115" s="36">
        <v>76000</v>
      </c>
      <c r="AF115" s="30">
        <v>0</v>
      </c>
      <c r="AG115" s="74">
        <f>SUM(AD115:AF115)</f>
        <v>245149</v>
      </c>
      <c r="AH115" s="30">
        <v>61384353</v>
      </c>
      <c r="AI115" s="30">
        <v>12791536</v>
      </c>
      <c r="AJ115" s="30">
        <v>16001000</v>
      </c>
      <c r="AK115" s="74">
        <f>SUM(AH115:AJ115)</f>
        <v>90176889</v>
      </c>
      <c r="AL115" s="80">
        <f t="shared" si="103"/>
        <v>90422038</v>
      </c>
      <c r="AM115" s="7">
        <v>50828</v>
      </c>
      <c r="AN115" s="7">
        <v>76000</v>
      </c>
      <c r="AO115" s="7">
        <v>0</v>
      </c>
      <c r="AP115" s="74">
        <f>SUM(AM115:AO115)</f>
        <v>126828</v>
      </c>
      <c r="AQ115" s="7">
        <f>5258539+59000000</f>
        <v>64258539</v>
      </c>
      <c r="AR115" s="7">
        <f>10002500+0</f>
        <v>10002500</v>
      </c>
      <c r="AS115" s="7">
        <f>23984121+24084879</f>
        <v>48069000</v>
      </c>
      <c r="AT115" s="74">
        <f>AQ115+AR115+AS115</f>
        <v>122330039</v>
      </c>
      <c r="AU115" s="80">
        <f t="shared" si="114"/>
        <v>122456867</v>
      </c>
      <c r="AV115" s="7">
        <v>54255</v>
      </c>
      <c r="AW115" s="7">
        <v>76000</v>
      </c>
      <c r="AX115" s="7"/>
      <c r="AY115" s="98">
        <f t="shared" si="76"/>
        <v>130255</v>
      </c>
      <c r="AZ115" s="7">
        <f>7047301+62581324</f>
        <v>69628625</v>
      </c>
      <c r="BA115" s="7">
        <f>5748571+0</f>
        <v>5748571</v>
      </c>
      <c r="BB115" s="7">
        <f>65089121+24084879</f>
        <v>89174000</v>
      </c>
      <c r="BC115" s="98">
        <f t="shared" si="71"/>
        <v>164551196</v>
      </c>
      <c r="BD115" s="80">
        <f t="shared" si="72"/>
        <v>164681451</v>
      </c>
    </row>
    <row r="116" spans="1:56" ht="17.25" thickBot="1" x14ac:dyDescent="0.3">
      <c r="A116" s="89" t="s">
        <v>118</v>
      </c>
      <c r="B116" s="6" t="s">
        <v>151</v>
      </c>
      <c r="C116" s="28">
        <v>12259.271999999999</v>
      </c>
      <c r="D116" s="28">
        <v>34834.072</v>
      </c>
      <c r="E116" s="28">
        <v>5000</v>
      </c>
      <c r="F116" s="144">
        <f>SUM(C116:E116)</f>
        <v>52093.343999999997</v>
      </c>
      <c r="G116" s="28">
        <v>6973117.0149999997</v>
      </c>
      <c r="H116" s="28">
        <v>0</v>
      </c>
      <c r="I116" s="28">
        <v>0</v>
      </c>
      <c r="J116" s="144">
        <f>G116+H116</f>
        <v>6973117.0149999997</v>
      </c>
      <c r="K116" s="146">
        <f t="shared" si="115"/>
        <v>7025210.3589999992</v>
      </c>
      <c r="L116" s="140">
        <v>216686.55000000002</v>
      </c>
      <c r="M116" s="140">
        <v>30000</v>
      </c>
      <c r="N116" s="140">
        <v>7500</v>
      </c>
      <c r="O116" s="145">
        <f t="shared" si="68"/>
        <v>254186.55000000002</v>
      </c>
      <c r="P116" s="140">
        <v>1518697.4370000002</v>
      </c>
      <c r="Q116" s="30">
        <v>0</v>
      </c>
      <c r="R116" s="140">
        <v>19405566.816</v>
      </c>
      <c r="S116" s="144">
        <f t="shared" si="69"/>
        <v>20924264.252999999</v>
      </c>
      <c r="T116" s="146">
        <f t="shared" si="70"/>
        <v>21178450.802999999</v>
      </c>
      <c r="U116" s="35">
        <v>28798</v>
      </c>
      <c r="V116" s="28">
        <v>49500</v>
      </c>
      <c r="W116" s="28">
        <v>10000</v>
      </c>
      <c r="X116" s="74">
        <f>SUM(U116:W116)</f>
        <v>88298</v>
      </c>
      <c r="Y116" s="7">
        <v>1150000</v>
      </c>
      <c r="Z116" s="7">
        <v>0</v>
      </c>
      <c r="AA116" s="7">
        <v>0</v>
      </c>
      <c r="AB116" s="74">
        <f>SUM(Y116:AA116)</f>
        <v>1150000</v>
      </c>
      <c r="AC116" s="80">
        <f t="shared" si="111"/>
        <v>1238298</v>
      </c>
      <c r="AD116" s="35">
        <v>205701</v>
      </c>
      <c r="AE116" s="35">
        <v>49500</v>
      </c>
      <c r="AF116" s="35">
        <v>10000</v>
      </c>
      <c r="AG116" s="74">
        <f>SUM(AD116:AF116)</f>
        <v>265201</v>
      </c>
      <c r="AH116" s="35">
        <v>1200000</v>
      </c>
      <c r="AI116" s="35"/>
      <c r="AJ116" s="35"/>
      <c r="AK116" s="74">
        <f>SUM(AH116:AJ116)</f>
        <v>1200000</v>
      </c>
      <c r="AL116" s="80">
        <f t="shared" si="103"/>
        <v>1465201</v>
      </c>
      <c r="AM116" s="7">
        <v>27575</v>
      </c>
      <c r="AN116" s="7">
        <v>49500</v>
      </c>
      <c r="AO116" s="7">
        <v>10000</v>
      </c>
      <c r="AP116" s="74">
        <f>SUM(AM116:AO116)</f>
        <v>87075</v>
      </c>
      <c r="AQ116" s="7">
        <v>2030858</v>
      </c>
      <c r="AR116" s="7">
        <v>0</v>
      </c>
      <c r="AS116" s="7"/>
      <c r="AT116" s="74">
        <f>SUM(AQ116:AS116)</f>
        <v>2030858</v>
      </c>
      <c r="AU116" s="80">
        <f t="shared" si="114"/>
        <v>2117933</v>
      </c>
      <c r="AV116" s="7">
        <v>29434</v>
      </c>
      <c r="AW116" s="7">
        <v>49500</v>
      </c>
      <c r="AX116" s="7">
        <v>10000</v>
      </c>
      <c r="AY116" s="98">
        <f t="shared" si="76"/>
        <v>88934</v>
      </c>
      <c r="AZ116" s="7">
        <v>9000000</v>
      </c>
      <c r="BA116" s="7"/>
      <c r="BB116" s="7"/>
      <c r="BC116" s="98">
        <f t="shared" si="71"/>
        <v>9000000</v>
      </c>
      <c r="BD116" s="80">
        <f t="shared" si="72"/>
        <v>9088934</v>
      </c>
    </row>
    <row r="117" spans="1:56" ht="17.25" thickBot="1" x14ac:dyDescent="0.3">
      <c r="A117" s="171" t="s">
        <v>188</v>
      </c>
      <c r="B117" s="172"/>
      <c r="C117" s="141">
        <f>C118+C119+C120</f>
        <v>1386200</v>
      </c>
      <c r="D117" s="141">
        <f>D118+D119+D120</f>
        <v>1196100</v>
      </c>
      <c r="E117" s="142">
        <f>E118+E119+E120</f>
        <v>3614600</v>
      </c>
      <c r="F117" s="143">
        <f>C117+D117+E117</f>
        <v>6196900</v>
      </c>
      <c r="G117" s="142">
        <f>G118+G119+G120</f>
        <v>25889400</v>
      </c>
      <c r="H117" s="169">
        <f>H118+H119+H120</f>
        <v>16987964.495487101</v>
      </c>
      <c r="I117" s="170">
        <f>I118+I119+I120</f>
        <v>25889400</v>
      </c>
      <c r="J117" s="143">
        <f>G117+H117</f>
        <v>42877364.495487101</v>
      </c>
      <c r="K117" s="146">
        <f t="shared" si="115"/>
        <v>49074264.495487101</v>
      </c>
      <c r="L117" s="141">
        <f>L118+L119+L120</f>
        <v>1461508.5729999999</v>
      </c>
      <c r="M117" s="141">
        <f>M118+M119+M120</f>
        <v>2454122.7940000002</v>
      </c>
      <c r="N117" s="141">
        <f>N118+N119+N120+N121</f>
        <v>1513646.8910000001</v>
      </c>
      <c r="O117" s="143">
        <f t="shared" si="68"/>
        <v>5429278.2580000004</v>
      </c>
      <c r="P117" s="141">
        <f>P118+P119+P120</f>
        <v>26290548.730999999</v>
      </c>
      <c r="Q117" s="141">
        <f>Q118+Q119+Q120</f>
        <v>0</v>
      </c>
      <c r="R117" s="141">
        <f>R118+R119+R120</f>
        <v>15288895.339</v>
      </c>
      <c r="S117" s="157">
        <f t="shared" si="69"/>
        <v>41579444.07</v>
      </c>
      <c r="T117" s="146">
        <f>T118+T119+T120</f>
        <v>47008722.328000002</v>
      </c>
      <c r="U117" s="5">
        <f t="shared" ref="U117:AB117" si="116">U118+U119+U120+U121</f>
        <v>1675137</v>
      </c>
      <c r="V117" s="5">
        <f t="shared" si="116"/>
        <v>2917090</v>
      </c>
      <c r="W117" s="5">
        <f t="shared" si="116"/>
        <v>2988400</v>
      </c>
      <c r="X117" s="5">
        <f t="shared" si="116"/>
        <v>7580627</v>
      </c>
      <c r="Y117" s="5">
        <f t="shared" si="116"/>
        <v>27325241</v>
      </c>
      <c r="Z117" s="5">
        <f t="shared" si="116"/>
        <v>3399898</v>
      </c>
      <c r="AA117" s="5">
        <f t="shared" si="116"/>
        <v>9798693</v>
      </c>
      <c r="AB117" s="5">
        <f t="shared" si="116"/>
        <v>40523832</v>
      </c>
      <c r="AC117" s="80">
        <f>AC118+AC119+AC120</f>
        <v>46904459</v>
      </c>
      <c r="AD117" s="5">
        <f t="shared" ref="AD117:AK117" si="117">AD118+AD119+AD120+AD121</f>
        <v>1626443</v>
      </c>
      <c r="AE117" s="5">
        <f t="shared" si="117"/>
        <v>2917090.9999999939</v>
      </c>
      <c r="AF117" s="5">
        <f t="shared" si="117"/>
        <v>2988400</v>
      </c>
      <c r="AG117" s="5">
        <f t="shared" si="117"/>
        <v>7531933.9999999944</v>
      </c>
      <c r="AH117" s="5">
        <f t="shared" si="117"/>
        <v>24372676</v>
      </c>
      <c r="AI117" s="5">
        <f t="shared" si="117"/>
        <v>1156290</v>
      </c>
      <c r="AJ117" s="5">
        <f t="shared" si="117"/>
        <v>33271000</v>
      </c>
      <c r="AK117" s="5">
        <f t="shared" si="117"/>
        <v>58799966</v>
      </c>
      <c r="AL117" s="80">
        <f>AL118+AL119+AL120</f>
        <v>65131899.999999993</v>
      </c>
      <c r="AM117" s="5">
        <f>AM118+AM119+AM120+AM121</f>
        <v>1714273</v>
      </c>
      <c r="AN117" s="5">
        <f>AN118+AN119+AN120+AN121</f>
        <v>2917091</v>
      </c>
      <c r="AO117" s="5">
        <f>AO118+AO119+AO120+AO121</f>
        <v>2988400</v>
      </c>
      <c r="AP117" s="73">
        <f>AM117+AN117+AO117</f>
        <v>7619764</v>
      </c>
      <c r="AQ117" s="5">
        <f>AQ118+AQ119+AQ120+AQ121</f>
        <v>24439977</v>
      </c>
      <c r="AR117" s="5">
        <f>AR118+AR119+AR120+AR121</f>
        <v>1156290</v>
      </c>
      <c r="AS117" s="5">
        <f>AS118+AS119+AS120+AS121</f>
        <v>22245000</v>
      </c>
      <c r="AT117" s="73">
        <f>AT118+AT119+AT120</f>
        <v>47841267</v>
      </c>
      <c r="AU117" s="80">
        <f>AP117+AT117</f>
        <v>55461031</v>
      </c>
      <c r="AV117" s="5">
        <f>AV118+AV119+AV120+AV121</f>
        <v>1798551</v>
      </c>
      <c r="AW117" s="5">
        <f>AW118+AW119+AW120+AW121</f>
        <v>2917091</v>
      </c>
      <c r="AX117" s="5">
        <f>AX118+AX119+AX120+AX121</f>
        <v>2988400</v>
      </c>
      <c r="AY117" s="73">
        <f t="shared" si="76"/>
        <v>7704042</v>
      </c>
      <c r="AZ117" s="5">
        <f>AZ118+AZ119+AZ120+AZ121</f>
        <v>24300000</v>
      </c>
      <c r="BA117" s="5">
        <f>BA118+BA119+BA120+BA121</f>
        <v>1156290</v>
      </c>
      <c r="BB117" s="5">
        <f>BB118+BB119+BB120+BB121</f>
        <v>184401000</v>
      </c>
      <c r="BC117" s="73">
        <f t="shared" si="71"/>
        <v>209857290</v>
      </c>
      <c r="BD117" s="80">
        <f>BD118+BD119+BD120+BD121</f>
        <v>217561332</v>
      </c>
    </row>
    <row r="118" spans="1:56" ht="17.25" thickBot="1" x14ac:dyDescent="0.3">
      <c r="A118" s="89" t="s">
        <v>136</v>
      </c>
      <c r="B118" s="6" t="s">
        <v>184</v>
      </c>
      <c r="C118" s="28">
        <v>966500</v>
      </c>
      <c r="D118" s="28">
        <v>656900</v>
      </c>
      <c r="E118" s="28">
        <v>112000</v>
      </c>
      <c r="F118" s="143">
        <f>SUM(C118:E118)</f>
        <v>1735400</v>
      </c>
      <c r="G118" s="140">
        <v>651600</v>
      </c>
      <c r="H118" s="140">
        <v>0</v>
      </c>
      <c r="I118" s="140">
        <v>651600</v>
      </c>
      <c r="J118" s="145">
        <f>G118+H118</f>
        <v>651600</v>
      </c>
      <c r="K118" s="146">
        <f t="shared" si="115"/>
        <v>2387000</v>
      </c>
      <c r="L118" s="140">
        <v>802757.27300000004</v>
      </c>
      <c r="M118" s="140">
        <v>1651849.064</v>
      </c>
      <c r="N118" s="140">
        <v>68146.891000000003</v>
      </c>
      <c r="O118" s="145">
        <f t="shared" si="68"/>
        <v>2522753.2280000001</v>
      </c>
      <c r="P118" s="140">
        <v>0</v>
      </c>
      <c r="Q118" s="30">
        <v>0</v>
      </c>
      <c r="R118" s="140">
        <v>0</v>
      </c>
      <c r="S118" s="144">
        <f t="shared" si="69"/>
        <v>0</v>
      </c>
      <c r="T118" s="146">
        <f t="shared" si="70"/>
        <v>2522753.2280000001</v>
      </c>
      <c r="U118" s="31">
        <v>973358</v>
      </c>
      <c r="V118" s="28">
        <v>1934795</v>
      </c>
      <c r="W118" s="28">
        <v>0</v>
      </c>
      <c r="X118" s="73">
        <f>U118+V118+W118</f>
        <v>2908153</v>
      </c>
      <c r="Y118" s="7">
        <v>250000</v>
      </c>
      <c r="Z118" s="7">
        <v>0</v>
      </c>
      <c r="AA118" s="7"/>
      <c r="AB118" s="73">
        <f>Y118+Z118+AA118</f>
        <v>250000</v>
      </c>
      <c r="AC118" s="80">
        <f>X118+AB118</f>
        <v>3158153</v>
      </c>
      <c r="AD118" s="31">
        <v>824548</v>
      </c>
      <c r="AE118" s="31">
        <v>1934794.9999999939</v>
      </c>
      <c r="AF118" s="31">
        <v>0</v>
      </c>
      <c r="AG118" s="73">
        <f>AD118+AE118+AF118</f>
        <v>2759342.9999999939</v>
      </c>
      <c r="AH118" s="31">
        <v>250000</v>
      </c>
      <c r="AI118" s="7">
        <v>0</v>
      </c>
      <c r="AJ118" s="7"/>
      <c r="AK118" s="73">
        <f>AH118+AI118+AJ118</f>
        <v>250000</v>
      </c>
      <c r="AL118" s="80">
        <f>AG118+AK118</f>
        <v>3009342.9999999939</v>
      </c>
      <c r="AM118" s="7">
        <v>866531</v>
      </c>
      <c r="AN118" s="7">
        <v>1934795</v>
      </c>
      <c r="AO118" s="7">
        <v>0</v>
      </c>
      <c r="AP118" s="73">
        <f>AM118+AN118+AO118</f>
        <v>2801326</v>
      </c>
      <c r="AQ118" s="7">
        <v>250000</v>
      </c>
      <c r="AR118" s="7">
        <v>0</v>
      </c>
      <c r="AS118" s="7"/>
      <c r="AT118" s="73">
        <f t="shared" ref="AT118:AT124" si="118">AQ118+AR118+AS118</f>
        <v>250000</v>
      </c>
      <c r="AU118" s="80">
        <f t="shared" si="114"/>
        <v>3051326</v>
      </c>
      <c r="AV118" s="7">
        <v>906817</v>
      </c>
      <c r="AW118" s="7">
        <v>1934795</v>
      </c>
      <c r="AX118" s="7"/>
      <c r="AY118" s="98">
        <f t="shared" si="76"/>
        <v>2841612</v>
      </c>
      <c r="AZ118" s="7">
        <v>250000</v>
      </c>
      <c r="BA118" s="7"/>
      <c r="BB118" s="7"/>
      <c r="BC118" s="98">
        <f t="shared" si="71"/>
        <v>250000</v>
      </c>
      <c r="BD118" s="80">
        <f t="shared" si="72"/>
        <v>3091612</v>
      </c>
    </row>
    <row r="119" spans="1:56" ht="17.25" thickBot="1" x14ac:dyDescent="0.3">
      <c r="A119" s="88" t="s">
        <v>185</v>
      </c>
      <c r="B119" s="6" t="s">
        <v>130</v>
      </c>
      <c r="C119" s="28">
        <v>75900</v>
      </c>
      <c r="D119" s="28">
        <v>71500</v>
      </c>
      <c r="E119" s="28">
        <v>80000</v>
      </c>
      <c r="F119" s="143">
        <f>SUM(C119:E119)</f>
        <v>227400</v>
      </c>
      <c r="G119" s="140">
        <v>22679100</v>
      </c>
      <c r="H119" s="140">
        <v>16987964.495487101</v>
      </c>
      <c r="I119" s="140">
        <v>22679100</v>
      </c>
      <c r="J119" s="145">
        <f t="shared" ref="J119:J120" si="119">G119+H119</f>
        <v>39667064.495487101</v>
      </c>
      <c r="K119" s="146">
        <f t="shared" si="115"/>
        <v>39894464.495487101</v>
      </c>
      <c r="L119" s="140">
        <v>51356.107000000004</v>
      </c>
      <c r="M119" s="140">
        <v>173879.11100000003</v>
      </c>
      <c r="N119" s="140">
        <v>8000</v>
      </c>
      <c r="O119" s="145">
        <f t="shared" si="68"/>
        <v>233235.21800000005</v>
      </c>
      <c r="P119" s="140">
        <v>24407003.952</v>
      </c>
      <c r="Q119" s="30">
        <v>0</v>
      </c>
      <c r="R119" s="140">
        <v>15288895.339</v>
      </c>
      <c r="S119" s="144">
        <f t="shared" si="69"/>
        <v>39695899.291000001</v>
      </c>
      <c r="T119" s="146">
        <f t="shared" si="70"/>
        <v>39929134.509000003</v>
      </c>
      <c r="U119" s="32">
        <v>78661</v>
      </c>
      <c r="V119" s="28">
        <v>183600</v>
      </c>
      <c r="W119" s="28">
        <v>66400</v>
      </c>
      <c r="X119" s="73">
        <f>U119+V119+W119</f>
        <v>328661</v>
      </c>
      <c r="Y119" s="7">
        <v>24630353</v>
      </c>
      <c r="Z119" s="7">
        <v>3399898</v>
      </c>
      <c r="AA119" s="7">
        <v>9798693</v>
      </c>
      <c r="AB119" s="73">
        <f>Y119+Z119+AA119</f>
        <v>37828944</v>
      </c>
      <c r="AC119" s="80">
        <f>X119+AB119</f>
        <v>38157605</v>
      </c>
      <c r="AD119" s="32">
        <v>110972</v>
      </c>
      <c r="AE119" s="32">
        <v>183600</v>
      </c>
      <c r="AF119" s="32">
        <v>66400</v>
      </c>
      <c r="AG119" s="73">
        <f>AD119+AE119+AF119</f>
        <v>360972</v>
      </c>
      <c r="AH119" s="32">
        <f>500000+22022676</f>
        <v>22522676</v>
      </c>
      <c r="AI119" s="32">
        <v>1156290</v>
      </c>
      <c r="AJ119" s="32">
        <v>33271000</v>
      </c>
      <c r="AK119" s="73">
        <f>AH119+AI119+AJ119</f>
        <v>56949966</v>
      </c>
      <c r="AL119" s="80">
        <f>AG119+AK119</f>
        <v>57310938</v>
      </c>
      <c r="AM119" s="7">
        <v>117212</v>
      </c>
      <c r="AN119" s="7">
        <v>183600</v>
      </c>
      <c r="AO119" s="7">
        <v>66400</v>
      </c>
      <c r="AP119" s="73">
        <f>AM119+AN119+AO119</f>
        <v>367212</v>
      </c>
      <c r="AQ119" s="7">
        <f>501395+22084118</f>
        <v>22585513</v>
      </c>
      <c r="AR119" s="19">
        <v>1156290</v>
      </c>
      <c r="AS119" s="19">
        <v>22245000</v>
      </c>
      <c r="AT119" s="73">
        <f t="shared" si="118"/>
        <v>45986803</v>
      </c>
      <c r="AU119" s="80">
        <f t="shared" si="114"/>
        <v>46354015</v>
      </c>
      <c r="AV119" s="7">
        <v>123199</v>
      </c>
      <c r="AW119" s="7">
        <v>183600</v>
      </c>
      <c r="AX119" s="7">
        <v>66400</v>
      </c>
      <c r="AY119" s="98">
        <f t="shared" si="76"/>
        <v>373199</v>
      </c>
      <c r="AZ119" s="7">
        <f>498494+21956326</f>
        <v>22454820</v>
      </c>
      <c r="BA119" s="7">
        <v>1156290</v>
      </c>
      <c r="BB119" s="7">
        <v>184401000</v>
      </c>
      <c r="BC119" s="98">
        <f t="shared" si="71"/>
        <v>208012110</v>
      </c>
      <c r="BD119" s="80">
        <f t="shared" si="72"/>
        <v>208385309</v>
      </c>
    </row>
    <row r="120" spans="1:56" ht="17.25" thickBot="1" x14ac:dyDescent="0.3">
      <c r="A120" s="93" t="s">
        <v>133</v>
      </c>
      <c r="B120" s="6" t="s">
        <v>186</v>
      </c>
      <c r="C120" s="28">
        <v>343800</v>
      </c>
      <c r="D120" s="28">
        <v>467700</v>
      </c>
      <c r="E120" s="28">
        <v>3422600</v>
      </c>
      <c r="F120" s="143">
        <f>SUM(C120:E120)</f>
        <v>4234100</v>
      </c>
      <c r="G120" s="140">
        <v>2558700</v>
      </c>
      <c r="H120" s="140">
        <v>0</v>
      </c>
      <c r="I120" s="140">
        <v>2558700</v>
      </c>
      <c r="J120" s="145">
        <f t="shared" si="119"/>
        <v>2558700</v>
      </c>
      <c r="K120" s="146">
        <f t="shared" si="115"/>
        <v>6792800</v>
      </c>
      <c r="L120" s="140">
        <v>607395.19299999997</v>
      </c>
      <c r="M120" s="140">
        <v>628394.61900000006</v>
      </c>
      <c r="N120" s="140">
        <v>1437500</v>
      </c>
      <c r="O120" s="145">
        <f t="shared" si="68"/>
        <v>2673289.8119999999</v>
      </c>
      <c r="P120" s="140">
        <v>1883544.7790000001</v>
      </c>
      <c r="Q120" s="212">
        <v>0</v>
      </c>
      <c r="R120" s="140">
        <v>0</v>
      </c>
      <c r="S120" s="144">
        <f t="shared" si="69"/>
        <v>1883544.7790000001</v>
      </c>
      <c r="T120" s="146">
        <f t="shared" si="70"/>
        <v>4556834.591</v>
      </c>
      <c r="U120" s="68">
        <v>623118</v>
      </c>
      <c r="V120" s="28">
        <v>798695</v>
      </c>
      <c r="W120" s="28">
        <v>1722000</v>
      </c>
      <c r="X120" s="73">
        <f>U120+V120+W120</f>
        <v>3143813</v>
      </c>
      <c r="Y120" s="7">
        <v>2444888</v>
      </c>
      <c r="Z120" s="7"/>
      <c r="AA120" s="7">
        <v>0</v>
      </c>
      <c r="AB120" s="73">
        <f>Y120+Z120+AA120</f>
        <v>2444888</v>
      </c>
      <c r="AC120" s="82">
        <f>X120+AB120</f>
        <v>5588701</v>
      </c>
      <c r="AD120" s="33">
        <v>690923</v>
      </c>
      <c r="AE120" s="33">
        <v>798696</v>
      </c>
      <c r="AF120" s="33">
        <v>1722000</v>
      </c>
      <c r="AG120" s="73">
        <f>AD120+AE120+AF120</f>
        <v>3211619</v>
      </c>
      <c r="AH120" s="33">
        <v>1600000</v>
      </c>
      <c r="AI120" s="7"/>
      <c r="AJ120" s="7">
        <v>0</v>
      </c>
      <c r="AK120" s="73">
        <f>AH120+AI120+AJ120</f>
        <v>1600000</v>
      </c>
      <c r="AL120" s="82">
        <f>AG120+AK120</f>
        <v>4811619</v>
      </c>
      <c r="AM120" s="7">
        <v>730530</v>
      </c>
      <c r="AN120" s="7">
        <v>798696</v>
      </c>
      <c r="AO120" s="7">
        <v>1722000</v>
      </c>
      <c r="AP120" s="73">
        <f>AM120+AN120+AO120</f>
        <v>3251226</v>
      </c>
      <c r="AQ120" s="7">
        <v>1604464</v>
      </c>
      <c r="AR120" s="69">
        <v>0</v>
      </c>
      <c r="AS120" s="69">
        <v>0</v>
      </c>
      <c r="AT120" s="73">
        <f t="shared" si="118"/>
        <v>1604464</v>
      </c>
      <c r="AU120" s="82">
        <f t="shared" si="114"/>
        <v>4855690</v>
      </c>
      <c r="AV120" s="7">
        <v>768535</v>
      </c>
      <c r="AW120" s="7">
        <v>798696</v>
      </c>
      <c r="AX120" s="7">
        <v>1722000</v>
      </c>
      <c r="AY120" s="98">
        <f t="shared" si="76"/>
        <v>3289231</v>
      </c>
      <c r="AZ120" s="7">
        <v>1595180</v>
      </c>
      <c r="BA120" s="7"/>
      <c r="BB120" s="7"/>
      <c r="BC120" s="98">
        <f t="shared" si="71"/>
        <v>1595180</v>
      </c>
      <c r="BD120" s="80">
        <f t="shared" si="72"/>
        <v>4884411</v>
      </c>
    </row>
    <row r="121" spans="1:56" ht="22.15" customHeight="1" x14ac:dyDescent="0.25">
      <c r="A121" s="94">
        <v>112</v>
      </c>
      <c r="B121" s="136" t="s">
        <v>241</v>
      </c>
      <c r="C121" s="137"/>
      <c r="D121" s="137"/>
      <c r="E121" s="137"/>
      <c r="F121" s="158"/>
      <c r="G121" s="137"/>
      <c r="H121" s="167"/>
      <c r="I121" s="168"/>
      <c r="J121" s="158"/>
      <c r="K121" s="159"/>
      <c r="L121" s="70">
        <v>0</v>
      </c>
      <c r="M121" s="37">
        <v>0</v>
      </c>
      <c r="N121" s="37">
        <v>0</v>
      </c>
      <c r="O121" s="213">
        <f t="shared" si="68"/>
        <v>0</v>
      </c>
      <c r="P121" s="37">
        <v>0</v>
      </c>
      <c r="Q121" s="37">
        <v>0</v>
      </c>
      <c r="R121" s="37">
        <v>0</v>
      </c>
      <c r="S121" s="108">
        <f t="shared" si="69"/>
        <v>0</v>
      </c>
      <c r="T121" s="159">
        <f t="shared" si="70"/>
        <v>0</v>
      </c>
      <c r="U121" s="70">
        <v>0</v>
      </c>
      <c r="V121" s="72">
        <v>0</v>
      </c>
      <c r="W121" s="37">
        <v>1200000</v>
      </c>
      <c r="X121" s="78">
        <f>U121+V121+W121</f>
        <v>1200000</v>
      </c>
      <c r="Y121" s="71">
        <v>0</v>
      </c>
      <c r="Z121" s="71">
        <v>0</v>
      </c>
      <c r="AA121" s="71">
        <v>0</v>
      </c>
      <c r="AB121" s="138">
        <v>0</v>
      </c>
      <c r="AC121" s="83">
        <f>X121+AB121</f>
        <v>1200000</v>
      </c>
      <c r="AD121" s="70">
        <v>0</v>
      </c>
      <c r="AE121" s="72">
        <v>0</v>
      </c>
      <c r="AF121" s="37">
        <v>1200000</v>
      </c>
      <c r="AG121" s="78">
        <f>AD121+AE121+AF121</f>
        <v>1200000</v>
      </c>
      <c r="AH121" s="71">
        <v>0</v>
      </c>
      <c r="AI121" s="71">
        <v>0</v>
      </c>
      <c r="AJ121" s="71">
        <v>0</v>
      </c>
      <c r="AK121" s="138">
        <v>0</v>
      </c>
      <c r="AL121" s="83">
        <f>AG121+AK121</f>
        <v>1200000</v>
      </c>
      <c r="AM121" s="70"/>
      <c r="AN121" s="72"/>
      <c r="AO121" s="11">
        <v>1200000</v>
      </c>
      <c r="AP121" s="78">
        <f>AM121+AN121+AO121</f>
        <v>1200000</v>
      </c>
      <c r="AQ121" s="71"/>
      <c r="AR121" s="71"/>
      <c r="AS121" s="71"/>
      <c r="AT121" s="78">
        <f t="shared" si="118"/>
        <v>0</v>
      </c>
      <c r="AU121" s="83">
        <f t="shared" si="114"/>
        <v>1200000</v>
      </c>
      <c r="AV121" s="70"/>
      <c r="AW121" s="72"/>
      <c r="AX121" s="72">
        <v>1200000</v>
      </c>
      <c r="AY121" s="139">
        <f t="shared" si="76"/>
        <v>1200000</v>
      </c>
      <c r="AZ121" s="71"/>
      <c r="BA121" s="71"/>
      <c r="BB121" s="71"/>
      <c r="BC121" s="78">
        <f t="shared" si="71"/>
        <v>0</v>
      </c>
      <c r="BD121" s="83">
        <f t="shared" si="72"/>
        <v>1200000</v>
      </c>
    </row>
    <row r="122" spans="1:56" ht="7.9" customHeight="1" x14ac:dyDescent="0.25">
      <c r="A122" s="12"/>
      <c r="B122" s="12"/>
      <c r="C122" s="155"/>
      <c r="D122" s="155"/>
      <c r="E122" s="155"/>
      <c r="F122" s="160"/>
      <c r="G122" s="155"/>
      <c r="H122" s="167"/>
      <c r="I122" s="168"/>
      <c r="J122" s="160">
        <f>G122+H122+I122</f>
        <v>0</v>
      </c>
      <c r="K122" s="161">
        <f>F122+J122</f>
        <v>0</v>
      </c>
      <c r="L122" s="155"/>
      <c r="M122" s="155"/>
      <c r="N122" s="155"/>
      <c r="O122" s="155"/>
      <c r="P122" s="160"/>
      <c r="Q122" s="155"/>
      <c r="R122" s="155"/>
      <c r="S122" s="155"/>
      <c r="T122" s="214">
        <f t="shared" si="70"/>
        <v>0</v>
      </c>
      <c r="U122" s="12"/>
      <c r="V122" s="12"/>
      <c r="W122" s="12"/>
      <c r="X122" s="77"/>
      <c r="Y122" s="12"/>
      <c r="Z122" s="12"/>
      <c r="AA122" s="12"/>
      <c r="AB122" s="77"/>
      <c r="AC122" s="84">
        <v>0</v>
      </c>
      <c r="AD122" s="12"/>
      <c r="AE122" s="12"/>
      <c r="AF122" s="12"/>
      <c r="AG122" s="77"/>
      <c r="AH122" s="12"/>
      <c r="AI122" s="12"/>
      <c r="AJ122" s="12"/>
      <c r="AK122" s="77"/>
      <c r="AL122" s="84">
        <v>0</v>
      </c>
      <c r="AM122" s="12"/>
      <c r="AN122" s="12"/>
      <c r="AO122" s="12"/>
      <c r="AP122" s="77"/>
      <c r="AQ122" s="12"/>
      <c r="AR122" s="12"/>
      <c r="AS122" s="12"/>
      <c r="AT122" s="77">
        <f t="shared" si="118"/>
        <v>0</v>
      </c>
      <c r="AU122" s="84">
        <f t="shared" si="114"/>
        <v>0</v>
      </c>
      <c r="AV122" s="12"/>
      <c r="AW122" s="12"/>
      <c r="AX122" s="12"/>
      <c r="AY122" s="77"/>
      <c r="AZ122" s="12"/>
      <c r="BA122" s="12"/>
      <c r="BB122" s="12"/>
      <c r="BC122" s="77"/>
      <c r="BD122" s="84"/>
    </row>
    <row r="123" spans="1:56" ht="27" customHeight="1" x14ac:dyDescent="0.25">
      <c r="A123" s="182" t="s">
        <v>152</v>
      </c>
      <c r="B123" s="182"/>
      <c r="C123" s="152">
        <f>C7+C10+C16+C20+C29+C35+C40+C44+C48+C52+C57+C62+C67+C74+C80+C84+C87+C94+C99+C103+C107+C112+C117</f>
        <v>368657997.74400002</v>
      </c>
      <c r="D123" s="152">
        <f>D7+D10+D16+D20+D29+D35+D40+D44+D48+D52+D57+D62+D67+D74+D80+D84+D87+D94+D99+D103+D107+D112+D117</f>
        <v>93979851.181999996</v>
      </c>
      <c r="E123" s="152">
        <f>E7+E10+E16+E20+E29+E35+E40+E44+E48+E52+E57+E62+E67+E74+E80+E84+E87+E94+E99+E103+E107+E112+E117</f>
        <v>240464451.44299999</v>
      </c>
      <c r="F123" s="162">
        <f>C123+D123+E123</f>
        <v>703102300.36899996</v>
      </c>
      <c r="G123" s="152">
        <f>G7+G10+G16+G20+G29+G35+G40+G44+G48+G52+G57+G62+G67+G74+G80+G84+G87+G94+G99+G103+G107+G112+G117</f>
        <v>568184524.96800005</v>
      </c>
      <c r="H123" s="167">
        <f>H7+H10+H16+H20+H29+H35+H40+H44+H48+H52+H57+H62+H67+H74+H80+H84+H87+H94+H99+H103+H107+H112+H117</f>
        <v>361872712.75730574</v>
      </c>
      <c r="I123" s="168">
        <f>I7+I10+I16+I20+I29+I35+I40+I44+I48+I52+I57+I62+I67+I74+I80+I84+I87+I94+I99+I103+I107+I112+I117</f>
        <v>345709605.73961794</v>
      </c>
      <c r="J123" s="162">
        <f>G123+H123</f>
        <v>930057237.7253058</v>
      </c>
      <c r="K123" s="159">
        <f>K7+K10+K16+K20+K29+K35+K40+K44+K48+K52+K57+K62+K67+K74+K80+K84+K87+K94+K99+K103+K107+K112+K117</f>
        <v>1638743978.0943058</v>
      </c>
      <c r="L123" s="152">
        <f>L7+L10+L16+L20+L29+L35+L40+L44+L48+L52+L57+L62+L67+L74+L80+L84+L87+L94+L99+L103+L107+L112+L117</f>
        <v>450529678.45099998</v>
      </c>
      <c r="M123" s="152">
        <f>M7+M10+M16+M20+M29+M35+M40+M44+M48+M52+M57+M62+M67+M74+M80+M84+M87+M94+M99+M103+M107+M112+M117</f>
        <v>117855597.934</v>
      </c>
      <c r="N123" s="152">
        <f>N7+N10+N16+N20+N29+N35+N40+N44+N48+N52+N57+N62+N67+N74+N80+N84+N87+N94+N99+N103+N107+N112+N117</f>
        <v>243219993.94799998</v>
      </c>
      <c r="O123" s="152">
        <f>L123+M123+N123</f>
        <v>811605270.33299994</v>
      </c>
      <c r="P123" s="162">
        <f>P7+P10+P16+P20+P29+P35+P40+P44+P48+P52+P57+P62+P67+P74+P80+P84+P87+P94+P99+P103+P107+P112+P117</f>
        <v>579500327.995</v>
      </c>
      <c r="Q123" s="162">
        <f>Q7+Q10+Q16+Q20+Q29+Q35+Q40+Q44+Q48+Q52+Q57+Q62+Q67+Q74+Q80+Q84+Q87+Q94+Q99+Q103+Q107+Q112+Q117</f>
        <v>67970789.106999993</v>
      </c>
      <c r="R123" s="162">
        <f>R7+R10+R16+R20+R29+R35+R40+R44+R48+R52+R57+R62+R67+R74+R80+R84+R87+R94+R99+R103+R107+R112+R117</f>
        <v>350881477.49103063</v>
      </c>
      <c r="S123" s="162">
        <f>P123+Q123+R123</f>
        <v>998352594.59303069</v>
      </c>
      <c r="T123" s="162">
        <f t="shared" ref="T123:AO123" si="120">T7+T10+T16+T20+T29+T35+T40+T44+T48+T52+T57+T62+T67+T74+T80+T84+T87+T94+T99+T103+T107+T112+T117</f>
        <v>1822419233.6760306</v>
      </c>
      <c r="U123" s="13">
        <f t="shared" si="120"/>
        <v>498536499</v>
      </c>
      <c r="V123" s="13">
        <f t="shared" si="120"/>
        <v>158210953</v>
      </c>
      <c r="W123" s="13">
        <f t="shared" si="120"/>
        <v>291708435</v>
      </c>
      <c r="X123" s="78">
        <f t="shared" si="120"/>
        <v>948455887</v>
      </c>
      <c r="Y123" s="13">
        <f t="shared" si="120"/>
        <v>577813080</v>
      </c>
      <c r="Z123" s="13">
        <f t="shared" si="120"/>
        <v>64588982</v>
      </c>
      <c r="AA123" s="13">
        <f t="shared" si="120"/>
        <v>318816912</v>
      </c>
      <c r="AB123" s="78">
        <f t="shared" si="120"/>
        <v>961218974</v>
      </c>
      <c r="AC123" s="83">
        <f t="shared" si="120"/>
        <v>1908474861</v>
      </c>
      <c r="AD123" s="13">
        <f t="shared" si="120"/>
        <v>531303099</v>
      </c>
      <c r="AE123" s="13">
        <f t="shared" si="120"/>
        <v>186361114.99199998</v>
      </c>
      <c r="AF123" s="13">
        <f t="shared" si="120"/>
        <v>335944500</v>
      </c>
      <c r="AG123" s="78">
        <f t="shared" si="120"/>
        <v>1053608713.992</v>
      </c>
      <c r="AH123" s="13">
        <f t="shared" si="120"/>
        <v>575561552</v>
      </c>
      <c r="AI123" s="13">
        <f t="shared" si="120"/>
        <v>59548968</v>
      </c>
      <c r="AJ123" s="13">
        <f t="shared" si="120"/>
        <v>352961000</v>
      </c>
      <c r="AK123" s="78">
        <f t="shared" si="120"/>
        <v>988071520</v>
      </c>
      <c r="AL123" s="83">
        <f t="shared" si="120"/>
        <v>2040480233.9920001</v>
      </c>
      <c r="AM123" s="13">
        <f t="shared" si="120"/>
        <v>579063087</v>
      </c>
      <c r="AN123" s="13">
        <f t="shared" si="120"/>
        <v>183405841</v>
      </c>
      <c r="AO123" s="13">
        <f t="shared" si="120"/>
        <v>365302054</v>
      </c>
      <c r="AP123" s="13">
        <f>AM123+AN123+AO123</f>
        <v>1127770982</v>
      </c>
      <c r="AQ123" s="13">
        <f>AQ7+AQ10+AQ16+AQ20+AQ29+AQ35+AQ40+AQ44+AQ48+AQ52+AQ57+AQ62+AQ67+AQ74+AQ80+AQ84+AQ87+AQ94+AQ99+AQ103+AQ107+AQ112+AQ117</f>
        <v>652153552</v>
      </c>
      <c r="AR123" s="13">
        <f>AR7+AR10+AR16+AR20+AR29+AR35+AR40+AR44+AR48+AR52+AR57+AR62+AR67+AR74+AR80+AR84+AR87+AR94+AR99+AR103+AR107+AR112+AR117</f>
        <v>72865968</v>
      </c>
      <c r="AS123" s="13">
        <f>AS7+AS10+AS16+AS20+AS29+AS35+AS40+AS44+AS48+AS52+AS57+AS62+AS67+AS74+AS80+AS84+AS87+AS94+AS99+AS103+AS107+AS112+AS117</f>
        <v>384375000</v>
      </c>
      <c r="AT123" s="13">
        <f t="shared" si="118"/>
        <v>1109394520</v>
      </c>
      <c r="AU123" s="13">
        <f>AP123+AT123</f>
        <v>2237165502</v>
      </c>
      <c r="AV123" s="13">
        <f>AV7+AV10+AV16+AV20+AV29+AV35+AV40+AV44+AV48+AV52+AV57+AV62+AV67+AV80+AV87+AV94+AV99+AV103+AV107+AV112+AV117</f>
        <v>621508040</v>
      </c>
      <c r="AW123" s="13">
        <f>AW7+AW10+AW16+AW20+AW29+AW35+AW40+AW44+AW48+AW52+AW57+AW62+AW67+AW80+AW87+AW94+AW99+AW103+AW107+AW112+AW117</f>
        <v>183444839</v>
      </c>
      <c r="AX123" s="13">
        <f>AX7+AX10+AX16+AX20+AX29+AX35+AX40+AX44+AX48+AX52+AX57+AX62+AX67+AX80+AX87+AX94+AX99+AX103+AX107+AX112+AX117</f>
        <v>377476523</v>
      </c>
      <c r="AY123" s="13">
        <f>AV123+AW123+AX123</f>
        <v>1182429402</v>
      </c>
      <c r="AZ123" s="13">
        <f>AZ7+AZ10+AZ16+AZ20+AZ29+AZ35+AZ40+AZ44+AZ48+AZ52+AZ57+AZ62+AZ67+AZ74+AZ80+AZ84+AZ87+AZ94+AZ99+AZ103+AZ107+AZ112+AZ117</f>
        <v>789380000</v>
      </c>
      <c r="BA123" s="13">
        <f>BA7+BA10+BA16+BA20+BA29+BA35+BA40+BA44+BA48+BA52+BA57+BA62+BA67+BA74+BA80+BA84+BA87+BA94+BA99+BA103+BA107+BA112+BA117</f>
        <v>62665968</v>
      </c>
      <c r="BB123" s="13">
        <f>BB7+BB10+BB16+BB20+BB29+BB35+BB40+BB44+BB48+BB52+BB57+BB62+BB67+BB74+BB80+BB84+BB87+BB94+BB99+BB103+BB107+BB112+BB117</f>
        <v>427720000</v>
      </c>
      <c r="BC123" s="13">
        <f>AZ123+BA123+BB123</f>
        <v>1279765968</v>
      </c>
      <c r="BD123" s="13">
        <f>AY123+BC123</f>
        <v>2462195370</v>
      </c>
    </row>
    <row r="124" spans="1:56" ht="7.9" customHeight="1" x14ac:dyDescent="0.25">
      <c r="A124" s="87"/>
      <c r="B124" s="14"/>
      <c r="C124" s="38"/>
      <c r="D124" s="38"/>
      <c r="E124" s="38"/>
      <c r="F124" s="163"/>
      <c r="G124" s="38"/>
      <c r="H124" s="167"/>
      <c r="I124" s="168"/>
      <c r="J124" s="163">
        <f>G124+H124+I124</f>
        <v>0</v>
      </c>
      <c r="K124" s="146">
        <f>F124+J124</f>
        <v>0</v>
      </c>
      <c r="L124" s="38"/>
      <c r="M124" s="38"/>
      <c r="N124" s="38"/>
      <c r="O124" s="38"/>
      <c r="P124" s="163"/>
      <c r="Q124" s="38"/>
      <c r="R124" s="38"/>
      <c r="S124" s="38"/>
      <c r="T124" s="163">
        <f>Q124+R124+S124</f>
        <v>0</v>
      </c>
      <c r="U124" s="14"/>
      <c r="V124" s="14"/>
      <c r="W124" s="14"/>
      <c r="X124" s="79"/>
      <c r="Y124" s="14"/>
      <c r="Z124" s="14"/>
      <c r="AA124" s="14"/>
      <c r="AB124" s="79"/>
      <c r="AC124" s="80"/>
      <c r="AD124" s="14"/>
      <c r="AE124" s="14"/>
      <c r="AF124" s="14"/>
      <c r="AG124" s="79"/>
      <c r="AH124" s="14"/>
      <c r="AI124" s="14"/>
      <c r="AJ124" s="14"/>
      <c r="AK124" s="79"/>
      <c r="AL124" s="80"/>
      <c r="AM124" s="42"/>
      <c r="AN124" s="42"/>
      <c r="AO124" s="42"/>
      <c r="AP124" s="79"/>
      <c r="AQ124" s="14"/>
      <c r="AR124" s="14"/>
      <c r="AS124" s="14"/>
      <c r="AT124" s="79">
        <f t="shared" si="118"/>
        <v>0</v>
      </c>
      <c r="AU124" s="80">
        <f>AP124+AT124</f>
        <v>0</v>
      </c>
      <c r="AV124" s="42"/>
      <c r="AW124" s="42"/>
      <c r="AX124" s="42"/>
      <c r="AY124" s="79"/>
      <c r="AZ124" s="14"/>
      <c r="BA124" s="14"/>
      <c r="BB124" s="14"/>
      <c r="BC124" s="130"/>
      <c r="BD124" s="80"/>
    </row>
    <row r="125" spans="1:56" ht="21" customHeight="1" thickBot="1" x14ac:dyDescent="0.3">
      <c r="A125" s="183" t="s">
        <v>153</v>
      </c>
      <c r="B125" s="184"/>
      <c r="C125" s="151">
        <f t="shared" ref="C125:AH125" si="121">SUM(C126:C140)</f>
        <v>75451665.113999993</v>
      </c>
      <c r="D125" s="151">
        <f t="shared" si="121"/>
        <v>59803132.017999999</v>
      </c>
      <c r="E125" s="151">
        <f t="shared" si="121"/>
        <v>285671454.47600001</v>
      </c>
      <c r="F125" s="162">
        <f t="shared" si="121"/>
        <v>420926251.60799998</v>
      </c>
      <c r="G125" s="151">
        <f>G126+G135</f>
        <v>4225507.8499999996</v>
      </c>
      <c r="H125" s="167">
        <f t="shared" si="121"/>
        <v>0</v>
      </c>
      <c r="I125" s="168">
        <f t="shared" si="121"/>
        <v>5000000</v>
      </c>
      <c r="J125" s="162">
        <f t="shared" si="121"/>
        <v>4225507.8499999996</v>
      </c>
      <c r="K125" s="159">
        <f>K126+K127+K128+K129+K130+K131+K132+K133+K134+K135+K136+K137+K138+K140</f>
        <v>603816859.45799994</v>
      </c>
      <c r="L125" s="151">
        <f t="shared" si="121"/>
        <v>59387039.696999997</v>
      </c>
      <c r="M125" s="151">
        <f t="shared" si="121"/>
        <v>31302284.612000003</v>
      </c>
      <c r="N125" s="151">
        <f t="shared" si="121"/>
        <v>327774416.89999998</v>
      </c>
      <c r="O125" s="151">
        <f t="shared" si="121"/>
        <v>418463741.20899999</v>
      </c>
      <c r="P125" s="162">
        <f t="shared" si="121"/>
        <v>3349779.523</v>
      </c>
      <c r="Q125" s="151">
        <f t="shared" si="121"/>
        <v>11849520.444</v>
      </c>
      <c r="R125" s="151">
        <f t="shared" si="121"/>
        <v>834854.32900000003</v>
      </c>
      <c r="S125" s="151">
        <f t="shared" si="121"/>
        <v>16034154.296</v>
      </c>
      <c r="T125" s="162">
        <f>T126+T127+T128+T129+T130+T131+T132+T133+T134+T135+T136+T137+T138+T140</f>
        <v>624726205.505</v>
      </c>
      <c r="U125" s="15">
        <f t="shared" si="121"/>
        <v>97498501</v>
      </c>
      <c r="V125" s="15">
        <f t="shared" si="121"/>
        <v>32654047</v>
      </c>
      <c r="W125" s="15">
        <f t="shared" si="121"/>
        <v>291091565</v>
      </c>
      <c r="X125" s="78">
        <f t="shared" si="121"/>
        <v>631844113</v>
      </c>
      <c r="Y125" s="15">
        <f t="shared" si="121"/>
        <v>3970920</v>
      </c>
      <c r="Z125" s="15">
        <f t="shared" si="121"/>
        <v>2111018</v>
      </c>
      <c r="AA125" s="15">
        <f t="shared" si="121"/>
        <v>4099088</v>
      </c>
      <c r="AB125" s="78">
        <f t="shared" si="121"/>
        <v>10181026</v>
      </c>
      <c r="AC125" s="83">
        <f t="shared" si="121"/>
        <v>642025139</v>
      </c>
      <c r="AD125" s="15">
        <f t="shared" si="121"/>
        <v>102578901</v>
      </c>
      <c r="AE125" s="15">
        <f t="shared" si="121"/>
        <v>39656885</v>
      </c>
      <c r="AF125" s="15">
        <f t="shared" si="121"/>
        <v>333355500</v>
      </c>
      <c r="AG125" s="78">
        <f t="shared" si="121"/>
        <v>714591286</v>
      </c>
      <c r="AH125" s="15">
        <f t="shared" si="121"/>
        <v>8500448</v>
      </c>
      <c r="AI125" s="15">
        <f t="shared" ref="AI125:BD125" si="122">SUM(AI126:AI140)</f>
        <v>3534032</v>
      </c>
      <c r="AJ125" s="15">
        <f t="shared" si="122"/>
        <v>10213000</v>
      </c>
      <c r="AK125" s="78">
        <f t="shared" si="122"/>
        <v>22247480</v>
      </c>
      <c r="AL125" s="83">
        <f t="shared" si="122"/>
        <v>736838766</v>
      </c>
      <c r="AM125" s="15">
        <f t="shared" si="122"/>
        <v>110084488</v>
      </c>
      <c r="AN125" s="15">
        <f t="shared" si="122"/>
        <v>45097082</v>
      </c>
      <c r="AO125" s="15">
        <f t="shared" si="122"/>
        <v>342347448</v>
      </c>
      <c r="AP125" s="15">
        <f t="shared" si="122"/>
        <v>759929018</v>
      </c>
      <c r="AQ125" s="15">
        <f t="shared" si="122"/>
        <v>14743448</v>
      </c>
      <c r="AR125" s="15">
        <f t="shared" si="122"/>
        <v>3534032</v>
      </c>
      <c r="AS125" s="15">
        <f t="shared" si="122"/>
        <v>7328000</v>
      </c>
      <c r="AT125" s="15">
        <f t="shared" si="122"/>
        <v>25605480</v>
      </c>
      <c r="AU125" s="15">
        <f t="shared" si="122"/>
        <v>785534498</v>
      </c>
      <c r="AV125" s="15">
        <f t="shared" si="122"/>
        <v>119084068</v>
      </c>
      <c r="AW125" s="15">
        <f t="shared" si="122"/>
        <v>57626682</v>
      </c>
      <c r="AX125" s="15">
        <f t="shared" si="122"/>
        <v>384959848</v>
      </c>
      <c r="AY125" s="15">
        <f t="shared" si="122"/>
        <v>847770598</v>
      </c>
      <c r="AZ125" s="15">
        <f t="shared" si="122"/>
        <v>4400000</v>
      </c>
      <c r="BA125" s="15">
        <f t="shared" si="122"/>
        <v>3534032</v>
      </c>
      <c r="BB125" s="15">
        <f t="shared" si="122"/>
        <v>2000000</v>
      </c>
      <c r="BC125" s="131">
        <f t="shared" si="122"/>
        <v>9934032</v>
      </c>
      <c r="BD125" s="80">
        <f t="shared" si="122"/>
        <v>857704630</v>
      </c>
    </row>
    <row r="126" spans="1:56" ht="17.25" thickBot="1" x14ac:dyDescent="0.3">
      <c r="A126" s="95" t="s">
        <v>154</v>
      </c>
      <c r="B126" s="16" t="s">
        <v>155</v>
      </c>
      <c r="C126" s="36">
        <v>10641909.905000001</v>
      </c>
      <c r="D126" s="36">
        <v>4114477.4619999998</v>
      </c>
      <c r="E126" s="36">
        <v>242000</v>
      </c>
      <c r="F126" s="144">
        <f t="shared" ref="F126:F135" si="123">SUM(C126:E126)</f>
        <v>14998387.367000001</v>
      </c>
      <c r="G126" s="36">
        <v>4211000</v>
      </c>
      <c r="H126" s="167"/>
      <c r="I126" s="168"/>
      <c r="J126" s="144">
        <f t="shared" ref="J126:J140" si="124">SUM(G126:I126)</f>
        <v>4211000</v>
      </c>
      <c r="K126" s="146">
        <f t="shared" ref="K126:K139" si="125">F126+J126</f>
        <v>19209387.366999999</v>
      </c>
      <c r="L126" s="140">
        <v>14969463.362</v>
      </c>
      <c r="M126" s="140">
        <v>6465556.1699999999</v>
      </c>
      <c r="N126" s="140">
        <v>275000</v>
      </c>
      <c r="O126" s="213">
        <f>L126+M126+N126</f>
        <v>21710019.531999998</v>
      </c>
      <c r="P126" s="140">
        <v>3224392.361</v>
      </c>
      <c r="Q126" s="36">
        <v>0</v>
      </c>
      <c r="R126" s="36">
        <v>0</v>
      </c>
      <c r="S126" s="36">
        <f>P126+Q126+R126</f>
        <v>3224392.361</v>
      </c>
      <c r="T126" s="162">
        <f t="shared" ref="T126:T140" si="126">O126+S126</f>
        <v>24934411.892999999</v>
      </c>
      <c r="U126" s="17">
        <v>15427419</v>
      </c>
      <c r="V126" s="17">
        <v>5790630</v>
      </c>
      <c r="W126" s="17">
        <v>500000</v>
      </c>
      <c r="X126" s="74">
        <f t="shared" ref="X126:X138" si="127">SUM(U126:W126)</f>
        <v>21718049</v>
      </c>
      <c r="Y126" s="17">
        <v>3070920</v>
      </c>
      <c r="Z126" s="17">
        <v>0</v>
      </c>
      <c r="AA126" s="17">
        <v>0</v>
      </c>
      <c r="AB126" s="74">
        <f t="shared" ref="AB126:AB133" si="128">Y126+Z126+AA126</f>
        <v>3070920</v>
      </c>
      <c r="AC126" s="80">
        <f t="shared" ref="AC126:AC140" si="129">X126+AB126</f>
        <v>24788969</v>
      </c>
      <c r="AD126" s="123">
        <v>15619843</v>
      </c>
      <c r="AE126" s="116">
        <v>5578207</v>
      </c>
      <c r="AF126" s="116">
        <v>520000</v>
      </c>
      <c r="AG126" s="115">
        <f t="shared" ref="AG126:AG138" si="130">SUM(AD126:AF126)</f>
        <v>21718050</v>
      </c>
      <c r="AH126" s="116">
        <v>7600448</v>
      </c>
      <c r="AI126" s="17">
        <v>0</v>
      </c>
      <c r="AJ126" s="17">
        <v>0</v>
      </c>
      <c r="AK126" s="74">
        <f t="shared" ref="AK126:AK133" si="131">AH126+AI126+AJ126</f>
        <v>7600448</v>
      </c>
      <c r="AL126" s="80">
        <f t="shared" ref="AL126:AL140" si="132">AG126+AK126</f>
        <v>29318498</v>
      </c>
      <c r="AM126" s="17">
        <v>16505501</v>
      </c>
      <c r="AN126" s="17">
        <v>5790630</v>
      </c>
      <c r="AO126" s="17">
        <v>500000</v>
      </c>
      <c r="AP126" s="74">
        <f>SUM(AM126:AO126)</f>
        <v>22796131</v>
      </c>
      <c r="AQ126" s="17">
        <v>13843448</v>
      </c>
      <c r="AR126" s="17">
        <v>0</v>
      </c>
      <c r="AS126" s="17">
        <v>0</v>
      </c>
      <c r="AT126" s="74">
        <f t="shared" ref="AT126:AT133" si="133">AQ126+AR126+AS126</f>
        <v>13843448</v>
      </c>
      <c r="AU126" s="80">
        <f>AP126+AT126</f>
        <v>36639579</v>
      </c>
      <c r="AV126" s="17">
        <v>17580890</v>
      </c>
      <c r="AW126" s="17">
        <v>5790630</v>
      </c>
      <c r="AX126" s="17">
        <v>500000</v>
      </c>
      <c r="AY126" s="74">
        <f>AV126+AW126+AX126</f>
        <v>23871520</v>
      </c>
      <c r="AZ126" s="17">
        <v>3500000</v>
      </c>
      <c r="BA126" s="17"/>
      <c r="BB126" s="17"/>
      <c r="BC126" s="75">
        <f>AZ126+BA126+BB126</f>
        <v>3500000</v>
      </c>
      <c r="BD126" s="80">
        <f>AY126+BC126</f>
        <v>27371520</v>
      </c>
    </row>
    <row r="127" spans="1:56" ht="18.75" customHeight="1" thickBot="1" x14ac:dyDescent="0.3">
      <c r="A127" s="88" t="s">
        <v>156</v>
      </c>
      <c r="B127" s="6" t="s">
        <v>157</v>
      </c>
      <c r="C127" s="36">
        <v>1028279.655</v>
      </c>
      <c r="D127" s="36">
        <v>594085.10100000002</v>
      </c>
      <c r="E127" s="36">
        <v>2954.752</v>
      </c>
      <c r="F127" s="144">
        <f t="shared" si="123"/>
        <v>1625319.5080000001</v>
      </c>
      <c r="G127" s="36">
        <v>0</v>
      </c>
      <c r="H127" s="167"/>
      <c r="I127" s="168"/>
      <c r="J127" s="144">
        <f t="shared" si="124"/>
        <v>0</v>
      </c>
      <c r="K127" s="146">
        <f t="shared" si="125"/>
        <v>1625319.5080000001</v>
      </c>
      <c r="L127" s="140">
        <v>1616980.362</v>
      </c>
      <c r="M127" s="140">
        <v>519253.89900000003</v>
      </c>
      <c r="N127" s="140">
        <v>2954.752</v>
      </c>
      <c r="O127" s="213">
        <f t="shared" ref="O127:O138" si="134">L127+M127+N127</f>
        <v>2139189.0129999998</v>
      </c>
      <c r="P127" s="36"/>
      <c r="Q127" s="36">
        <v>0</v>
      </c>
      <c r="R127" s="36">
        <v>0</v>
      </c>
      <c r="S127" s="36">
        <v>0</v>
      </c>
      <c r="T127" s="162">
        <f t="shared" si="126"/>
        <v>2139189.0129999998</v>
      </c>
      <c r="U127" s="17">
        <v>1883476</v>
      </c>
      <c r="V127" s="17">
        <v>803235</v>
      </c>
      <c r="W127" s="17">
        <v>3600</v>
      </c>
      <c r="X127" s="74">
        <f t="shared" si="127"/>
        <v>2690311</v>
      </c>
      <c r="Y127" s="17"/>
      <c r="Z127" s="17">
        <v>0</v>
      </c>
      <c r="AA127" s="17">
        <v>0</v>
      </c>
      <c r="AB127" s="74">
        <f t="shared" si="128"/>
        <v>0</v>
      </c>
      <c r="AC127" s="80">
        <f t="shared" si="129"/>
        <v>2690311</v>
      </c>
      <c r="AD127" s="118">
        <v>1961475</v>
      </c>
      <c r="AE127" s="36">
        <v>803235</v>
      </c>
      <c r="AF127" s="36">
        <v>3600</v>
      </c>
      <c r="AG127" s="74">
        <f t="shared" si="130"/>
        <v>2768310</v>
      </c>
      <c r="AH127" s="17"/>
      <c r="AI127" s="17">
        <v>0</v>
      </c>
      <c r="AJ127" s="17">
        <v>0</v>
      </c>
      <c r="AK127" s="74">
        <f t="shared" si="131"/>
        <v>0</v>
      </c>
      <c r="AL127" s="80">
        <f t="shared" si="132"/>
        <v>2768310</v>
      </c>
      <c r="AM127" s="17">
        <v>2087147</v>
      </c>
      <c r="AN127" s="17">
        <v>803235</v>
      </c>
      <c r="AO127" s="17">
        <v>3600</v>
      </c>
      <c r="AP127" s="74">
        <f t="shared" ref="AP127:AP138" si="135">SUM(AM127:AO127)</f>
        <v>2893982</v>
      </c>
      <c r="AQ127" s="17"/>
      <c r="AR127" s="17">
        <v>0</v>
      </c>
      <c r="AS127" s="17">
        <v>0</v>
      </c>
      <c r="AT127" s="74">
        <f t="shared" si="133"/>
        <v>0</v>
      </c>
      <c r="AU127" s="80">
        <f t="shared" ref="AU127:AU140" si="136">AP127+AT127</f>
        <v>2893982</v>
      </c>
      <c r="AV127" s="17">
        <v>2216560</v>
      </c>
      <c r="AW127" s="17">
        <v>803235</v>
      </c>
      <c r="AX127" s="17">
        <v>3600</v>
      </c>
      <c r="AY127" s="74">
        <f t="shared" ref="AY127:AY138" si="137">AV127+AW127+AX127</f>
        <v>3023395</v>
      </c>
      <c r="AZ127" s="17">
        <v>0</v>
      </c>
      <c r="BA127" s="17">
        <v>0</v>
      </c>
      <c r="BB127" s="17">
        <v>0</v>
      </c>
      <c r="BC127" s="74">
        <f t="shared" ref="BC127:BC140" si="138">AZ127+BA127+BB127</f>
        <v>0</v>
      </c>
      <c r="BD127" s="80">
        <f t="shared" ref="BD127:BD140" si="139">AY127+BC127</f>
        <v>3023395</v>
      </c>
    </row>
    <row r="128" spans="1:56" ht="19.5" customHeight="1" thickBot="1" x14ac:dyDescent="0.3">
      <c r="A128" s="88" t="s">
        <v>158</v>
      </c>
      <c r="B128" s="6" t="s">
        <v>159</v>
      </c>
      <c r="C128" s="36">
        <v>2391909.7780000004</v>
      </c>
      <c r="D128" s="36">
        <v>790892.31299999997</v>
      </c>
      <c r="E128" s="36">
        <v>54141.002</v>
      </c>
      <c r="F128" s="144">
        <f t="shared" si="123"/>
        <v>3236943.0930000003</v>
      </c>
      <c r="G128" s="36">
        <v>0</v>
      </c>
      <c r="H128" s="167"/>
      <c r="I128" s="168"/>
      <c r="J128" s="144">
        <f t="shared" si="124"/>
        <v>0</v>
      </c>
      <c r="K128" s="146">
        <f t="shared" si="125"/>
        <v>3236943.0930000003</v>
      </c>
      <c r="L128" s="140">
        <v>3416314.068</v>
      </c>
      <c r="M128" s="140">
        <v>943324.71200000006</v>
      </c>
      <c r="N128" s="140">
        <v>53924.936000000002</v>
      </c>
      <c r="O128" s="213">
        <f t="shared" si="134"/>
        <v>4413563.716</v>
      </c>
      <c r="P128" s="36"/>
      <c r="Q128" s="36">
        <v>0</v>
      </c>
      <c r="R128" s="36">
        <v>0</v>
      </c>
      <c r="S128" s="36">
        <v>0</v>
      </c>
      <c r="T128" s="162">
        <f t="shared" si="126"/>
        <v>4413563.716</v>
      </c>
      <c r="U128" s="17">
        <v>2124845</v>
      </c>
      <c r="V128" s="17">
        <v>1034025</v>
      </c>
      <c r="W128" s="17">
        <v>57387</v>
      </c>
      <c r="X128" s="74">
        <f t="shared" si="127"/>
        <v>3216257</v>
      </c>
      <c r="Y128" s="17"/>
      <c r="Z128" s="17">
        <v>0</v>
      </c>
      <c r="AA128" s="17">
        <v>0</v>
      </c>
      <c r="AB128" s="74">
        <f t="shared" si="128"/>
        <v>0</v>
      </c>
      <c r="AC128" s="80">
        <f t="shared" si="129"/>
        <v>3216257</v>
      </c>
      <c r="AD128" s="36">
        <v>2869317</v>
      </c>
      <c r="AE128" s="36">
        <v>1375025</v>
      </c>
      <c r="AF128" s="36">
        <v>57387</v>
      </c>
      <c r="AG128" s="74">
        <f t="shared" si="130"/>
        <v>4301729</v>
      </c>
      <c r="AH128" s="17"/>
      <c r="AI128" s="17">
        <v>0</v>
      </c>
      <c r="AJ128" s="17">
        <v>0</v>
      </c>
      <c r="AK128" s="74">
        <f t="shared" si="131"/>
        <v>0</v>
      </c>
      <c r="AL128" s="80">
        <f t="shared" si="132"/>
        <v>4301729</v>
      </c>
      <c r="AM128" s="17">
        <v>2903035</v>
      </c>
      <c r="AN128" s="17">
        <v>1375025</v>
      </c>
      <c r="AO128" s="17">
        <v>57387</v>
      </c>
      <c r="AP128" s="74">
        <f t="shared" si="135"/>
        <v>4335447</v>
      </c>
      <c r="AQ128" s="17"/>
      <c r="AR128" s="17">
        <v>0</v>
      </c>
      <c r="AS128" s="17">
        <v>0</v>
      </c>
      <c r="AT128" s="74">
        <f t="shared" si="133"/>
        <v>0</v>
      </c>
      <c r="AU128" s="80">
        <f t="shared" si="136"/>
        <v>4335447</v>
      </c>
      <c r="AV128" s="17">
        <v>3080473</v>
      </c>
      <c r="AW128" s="17">
        <v>1375025</v>
      </c>
      <c r="AX128" s="17">
        <v>57387</v>
      </c>
      <c r="AY128" s="74">
        <f t="shared" si="137"/>
        <v>4512885</v>
      </c>
      <c r="AZ128" s="17">
        <v>0</v>
      </c>
      <c r="BA128" s="17">
        <v>0</v>
      </c>
      <c r="BB128" s="17">
        <v>0</v>
      </c>
      <c r="BC128" s="74">
        <f t="shared" si="138"/>
        <v>0</v>
      </c>
      <c r="BD128" s="80">
        <f t="shared" si="139"/>
        <v>4512885</v>
      </c>
    </row>
    <row r="129" spans="1:56" ht="17.25" thickBot="1" x14ac:dyDescent="0.3">
      <c r="A129" s="88" t="s">
        <v>160</v>
      </c>
      <c r="B129" s="6" t="s">
        <v>161</v>
      </c>
      <c r="C129" s="36">
        <v>1281945.3400000001</v>
      </c>
      <c r="D129" s="36">
        <v>546673.09600000002</v>
      </c>
      <c r="E129" s="36">
        <v>26644.177</v>
      </c>
      <c r="F129" s="144">
        <f t="shared" si="123"/>
        <v>1855262.6130000001</v>
      </c>
      <c r="G129" s="36">
        <v>0</v>
      </c>
      <c r="H129" s="167"/>
      <c r="I129" s="168"/>
      <c r="J129" s="144">
        <f t="shared" si="124"/>
        <v>0</v>
      </c>
      <c r="K129" s="146">
        <f t="shared" si="125"/>
        <v>1855262.6130000001</v>
      </c>
      <c r="L129" s="140">
        <v>1364387.3940000001</v>
      </c>
      <c r="M129" s="140">
        <v>461635.70199999999</v>
      </c>
      <c r="N129" s="140">
        <v>26644.177</v>
      </c>
      <c r="O129" s="213">
        <f t="shared" si="134"/>
        <v>1852667.273</v>
      </c>
      <c r="P129" s="36"/>
      <c r="Q129" s="36">
        <v>0</v>
      </c>
      <c r="R129" s="36">
        <v>0</v>
      </c>
      <c r="S129" s="36">
        <v>0</v>
      </c>
      <c r="T129" s="162">
        <f t="shared" si="126"/>
        <v>1852667.273</v>
      </c>
      <c r="U129" s="17">
        <v>1537533</v>
      </c>
      <c r="V129" s="17">
        <v>664288</v>
      </c>
      <c r="W129" s="17">
        <v>27000</v>
      </c>
      <c r="X129" s="74">
        <f t="shared" si="127"/>
        <v>2228821</v>
      </c>
      <c r="Y129" s="17"/>
      <c r="Z129" s="17">
        <v>0</v>
      </c>
      <c r="AA129" s="17">
        <v>0</v>
      </c>
      <c r="AB129" s="74">
        <f t="shared" si="128"/>
        <v>0</v>
      </c>
      <c r="AC129" s="80">
        <f t="shared" si="129"/>
        <v>2228821</v>
      </c>
      <c r="AD129" s="118">
        <v>1373021</v>
      </c>
      <c r="AE129" s="118">
        <v>664288</v>
      </c>
      <c r="AF129" s="117">
        <v>27000</v>
      </c>
      <c r="AG129" s="74">
        <f t="shared" si="130"/>
        <v>2064309</v>
      </c>
      <c r="AH129" s="17"/>
      <c r="AI129" s="17">
        <v>0</v>
      </c>
      <c r="AJ129" s="17">
        <v>0</v>
      </c>
      <c r="AK129" s="74">
        <f t="shared" si="131"/>
        <v>0</v>
      </c>
      <c r="AL129" s="80">
        <f t="shared" si="132"/>
        <v>2064309</v>
      </c>
      <c r="AM129" s="17">
        <v>1459120</v>
      </c>
      <c r="AN129" s="17">
        <v>664288</v>
      </c>
      <c r="AO129" s="17">
        <v>27000</v>
      </c>
      <c r="AP129" s="74">
        <f t="shared" si="135"/>
        <v>2150408</v>
      </c>
      <c r="AQ129" s="17"/>
      <c r="AR129" s="17">
        <v>0</v>
      </c>
      <c r="AS129" s="17">
        <v>0</v>
      </c>
      <c r="AT129" s="74">
        <f t="shared" si="133"/>
        <v>0</v>
      </c>
      <c r="AU129" s="80">
        <f t="shared" si="136"/>
        <v>2150408</v>
      </c>
      <c r="AV129" s="17">
        <v>1554186</v>
      </c>
      <c r="AW129" s="17">
        <v>664288</v>
      </c>
      <c r="AX129" s="17">
        <v>27000</v>
      </c>
      <c r="AY129" s="74">
        <f t="shared" si="137"/>
        <v>2245474</v>
      </c>
      <c r="AZ129" s="17">
        <v>0</v>
      </c>
      <c r="BA129" s="17">
        <v>0</v>
      </c>
      <c r="BB129" s="17">
        <v>0</v>
      </c>
      <c r="BC129" s="74">
        <f t="shared" si="138"/>
        <v>0</v>
      </c>
      <c r="BD129" s="80">
        <f t="shared" si="139"/>
        <v>2245474</v>
      </c>
    </row>
    <row r="130" spans="1:56" ht="27.6" customHeight="1" thickBot="1" x14ac:dyDescent="0.3">
      <c r="A130" s="88" t="s">
        <v>162</v>
      </c>
      <c r="B130" s="6" t="s">
        <v>163</v>
      </c>
      <c r="C130" s="36">
        <v>1184829.686</v>
      </c>
      <c r="D130" s="36">
        <v>920922.97600000002</v>
      </c>
      <c r="E130" s="36">
        <v>2976.877</v>
      </c>
      <c r="F130" s="144">
        <f t="shared" si="123"/>
        <v>2108729.5389999999</v>
      </c>
      <c r="G130" s="36">
        <v>0</v>
      </c>
      <c r="H130" s="167"/>
      <c r="I130" s="168"/>
      <c r="J130" s="144">
        <f t="shared" si="124"/>
        <v>0</v>
      </c>
      <c r="K130" s="146">
        <f t="shared" si="125"/>
        <v>2108729.5389999999</v>
      </c>
      <c r="L130" s="140">
        <v>1175369.2320000001</v>
      </c>
      <c r="M130" s="140">
        <v>885458.09</v>
      </c>
      <c r="N130" s="140">
        <v>2803.09</v>
      </c>
      <c r="O130" s="213">
        <f t="shared" si="134"/>
        <v>2063630.4120000002</v>
      </c>
      <c r="P130" s="36"/>
      <c r="Q130" s="36">
        <v>0</v>
      </c>
      <c r="R130" s="36">
        <v>0</v>
      </c>
      <c r="S130" s="36">
        <v>0</v>
      </c>
      <c r="T130" s="162">
        <f t="shared" si="126"/>
        <v>2063630.4120000002</v>
      </c>
      <c r="U130" s="17">
        <v>1239400</v>
      </c>
      <c r="V130" s="17">
        <v>1078273</v>
      </c>
      <c r="W130" s="17">
        <v>3000</v>
      </c>
      <c r="X130" s="74">
        <f t="shared" si="127"/>
        <v>2320673</v>
      </c>
      <c r="Y130" s="17"/>
      <c r="Z130" s="17">
        <v>0</v>
      </c>
      <c r="AA130" s="17">
        <v>0</v>
      </c>
      <c r="AB130" s="74">
        <f t="shared" si="128"/>
        <v>0</v>
      </c>
      <c r="AC130" s="80">
        <f t="shared" si="129"/>
        <v>2320673</v>
      </c>
      <c r="AD130" s="118">
        <v>2023659</v>
      </c>
      <c r="AE130" s="118">
        <v>1078273</v>
      </c>
      <c r="AF130" s="36">
        <v>3000</v>
      </c>
      <c r="AG130" s="74">
        <f t="shared" si="130"/>
        <v>3104932</v>
      </c>
      <c r="AH130" s="17"/>
      <c r="AI130" s="17">
        <v>0</v>
      </c>
      <c r="AJ130" s="17">
        <v>0</v>
      </c>
      <c r="AK130" s="74">
        <f t="shared" si="131"/>
        <v>0</v>
      </c>
      <c r="AL130" s="80">
        <f t="shared" si="132"/>
        <v>3104932</v>
      </c>
      <c r="AM130" s="17">
        <v>2092686</v>
      </c>
      <c r="AN130" s="17">
        <v>1078273</v>
      </c>
      <c r="AO130" s="17">
        <v>3000</v>
      </c>
      <c r="AP130" s="74">
        <f t="shared" si="135"/>
        <v>3173959</v>
      </c>
      <c r="AQ130" s="17"/>
      <c r="AR130" s="17">
        <v>0</v>
      </c>
      <c r="AS130" s="17">
        <v>0</v>
      </c>
      <c r="AT130" s="74">
        <f t="shared" si="133"/>
        <v>0</v>
      </c>
      <c r="AU130" s="80">
        <f t="shared" si="136"/>
        <v>3173959</v>
      </c>
      <c r="AV130" s="17">
        <v>2216809</v>
      </c>
      <c r="AW130" s="17">
        <v>1078273</v>
      </c>
      <c r="AX130" s="17">
        <v>3000</v>
      </c>
      <c r="AY130" s="74">
        <f t="shared" si="137"/>
        <v>3298082</v>
      </c>
      <c r="AZ130" s="17">
        <v>0</v>
      </c>
      <c r="BA130" s="17">
        <v>0</v>
      </c>
      <c r="BB130" s="17">
        <v>0</v>
      </c>
      <c r="BC130" s="74">
        <f t="shared" si="138"/>
        <v>0</v>
      </c>
      <c r="BD130" s="80">
        <f t="shared" si="139"/>
        <v>3298082</v>
      </c>
    </row>
    <row r="131" spans="1:56" ht="17.25" thickBot="1" x14ac:dyDescent="0.3">
      <c r="A131" s="88" t="s">
        <v>164</v>
      </c>
      <c r="B131" s="6" t="s">
        <v>165</v>
      </c>
      <c r="C131" s="36">
        <v>304853.3</v>
      </c>
      <c r="D131" s="36">
        <v>252874.28499999997</v>
      </c>
      <c r="E131" s="36">
        <v>1000</v>
      </c>
      <c r="F131" s="144">
        <f t="shared" si="123"/>
        <v>558727.58499999996</v>
      </c>
      <c r="G131" s="36">
        <v>0</v>
      </c>
      <c r="H131" s="167"/>
      <c r="I131" s="168"/>
      <c r="J131" s="144">
        <f t="shared" si="124"/>
        <v>0</v>
      </c>
      <c r="K131" s="146">
        <f t="shared" si="125"/>
        <v>558727.58499999996</v>
      </c>
      <c r="L131" s="140">
        <v>271577.005</v>
      </c>
      <c r="M131" s="140">
        <v>221081.15299999999</v>
      </c>
      <c r="N131" s="140">
        <v>1000</v>
      </c>
      <c r="O131" s="213">
        <f t="shared" si="134"/>
        <v>493658.158</v>
      </c>
      <c r="P131" s="36"/>
      <c r="Q131" s="36">
        <v>0</v>
      </c>
      <c r="R131" s="36">
        <v>0</v>
      </c>
      <c r="S131" s="36">
        <v>0</v>
      </c>
      <c r="T131" s="162">
        <f t="shared" si="126"/>
        <v>493658.158</v>
      </c>
      <c r="U131" s="17">
        <v>280145</v>
      </c>
      <c r="V131" s="17">
        <v>323685</v>
      </c>
      <c r="W131" s="17">
        <v>1000</v>
      </c>
      <c r="X131" s="74">
        <f t="shared" si="127"/>
        <v>604830</v>
      </c>
      <c r="Y131" s="17"/>
      <c r="Z131" s="17">
        <v>0</v>
      </c>
      <c r="AA131" s="17">
        <v>0</v>
      </c>
      <c r="AB131" s="74">
        <f t="shared" si="128"/>
        <v>0</v>
      </c>
      <c r="AC131" s="80">
        <f t="shared" si="129"/>
        <v>604830</v>
      </c>
      <c r="AD131" s="36">
        <v>387628</v>
      </c>
      <c r="AE131" s="36">
        <v>531660</v>
      </c>
      <c r="AF131" s="36">
        <v>1000</v>
      </c>
      <c r="AG131" s="74">
        <f t="shared" si="130"/>
        <v>920288</v>
      </c>
      <c r="AH131" s="17"/>
      <c r="AI131" s="17">
        <v>0</v>
      </c>
      <c r="AJ131" s="17">
        <v>0</v>
      </c>
      <c r="AK131" s="74">
        <f t="shared" si="131"/>
        <v>0</v>
      </c>
      <c r="AL131" s="80">
        <f t="shared" si="132"/>
        <v>920288</v>
      </c>
      <c r="AM131" s="17">
        <v>410661</v>
      </c>
      <c r="AN131" s="17">
        <v>531660</v>
      </c>
      <c r="AO131" s="17">
        <v>1000</v>
      </c>
      <c r="AP131" s="74">
        <f t="shared" si="135"/>
        <v>943321</v>
      </c>
      <c r="AQ131" s="17"/>
      <c r="AR131" s="17">
        <v>0</v>
      </c>
      <c r="AS131" s="17">
        <v>0</v>
      </c>
      <c r="AT131" s="74">
        <f t="shared" si="133"/>
        <v>0</v>
      </c>
      <c r="AU131" s="80">
        <f t="shared" si="136"/>
        <v>943321</v>
      </c>
      <c r="AV131" s="17">
        <v>436322</v>
      </c>
      <c r="AW131" s="17">
        <v>531660</v>
      </c>
      <c r="AX131" s="17">
        <v>1000</v>
      </c>
      <c r="AY131" s="74">
        <f t="shared" si="137"/>
        <v>968982</v>
      </c>
      <c r="AZ131" s="17"/>
      <c r="BA131" s="17"/>
      <c r="BB131" s="17"/>
      <c r="BC131" s="74">
        <f t="shared" si="138"/>
        <v>0</v>
      </c>
      <c r="BD131" s="80">
        <f t="shared" si="139"/>
        <v>968982</v>
      </c>
    </row>
    <row r="132" spans="1:56" ht="17.25" thickBot="1" x14ac:dyDescent="0.3">
      <c r="A132" s="88" t="s">
        <v>166</v>
      </c>
      <c r="B132" s="6" t="s">
        <v>167</v>
      </c>
      <c r="C132" s="36">
        <v>47400</v>
      </c>
      <c r="D132" s="36">
        <v>329294.67699999997</v>
      </c>
      <c r="E132" s="36">
        <v>2428.8090000000002</v>
      </c>
      <c r="F132" s="144">
        <f t="shared" si="123"/>
        <v>379123.48599999998</v>
      </c>
      <c r="G132" s="36">
        <v>0</v>
      </c>
      <c r="H132" s="167"/>
      <c r="I132" s="168"/>
      <c r="J132" s="144">
        <f t="shared" si="124"/>
        <v>0</v>
      </c>
      <c r="K132" s="146">
        <f t="shared" si="125"/>
        <v>379123.48599999998</v>
      </c>
      <c r="L132" s="140">
        <v>168461.448</v>
      </c>
      <c r="M132" s="140">
        <v>368553.67600000004</v>
      </c>
      <c r="N132" s="140">
        <v>2953.7939999999999</v>
      </c>
      <c r="O132" s="213">
        <f t="shared" si="134"/>
        <v>539968.91800000006</v>
      </c>
      <c r="P132" s="36"/>
      <c r="Q132" s="36">
        <v>0</v>
      </c>
      <c r="R132" s="36">
        <v>0</v>
      </c>
      <c r="S132" s="36">
        <v>0</v>
      </c>
      <c r="T132" s="162">
        <f t="shared" si="126"/>
        <v>539968.91800000006</v>
      </c>
      <c r="U132" s="17">
        <v>169322</v>
      </c>
      <c r="V132" s="17">
        <v>677755</v>
      </c>
      <c r="W132" s="17">
        <v>3400</v>
      </c>
      <c r="X132" s="74">
        <f t="shared" si="127"/>
        <v>850477</v>
      </c>
      <c r="Y132" s="17"/>
      <c r="Z132" s="17">
        <v>0</v>
      </c>
      <c r="AA132" s="17">
        <v>0</v>
      </c>
      <c r="AB132" s="74">
        <f t="shared" si="128"/>
        <v>0</v>
      </c>
      <c r="AC132" s="80">
        <f t="shared" si="129"/>
        <v>850477</v>
      </c>
      <c r="AD132" s="118">
        <v>199068</v>
      </c>
      <c r="AE132" s="118">
        <v>677755</v>
      </c>
      <c r="AF132" s="36">
        <v>3400</v>
      </c>
      <c r="AG132" s="74">
        <f t="shared" si="130"/>
        <v>880223</v>
      </c>
      <c r="AH132" s="17"/>
      <c r="AI132" s="17">
        <v>0</v>
      </c>
      <c r="AJ132" s="17">
        <v>0</v>
      </c>
      <c r="AK132" s="74">
        <f t="shared" si="131"/>
        <v>0</v>
      </c>
      <c r="AL132" s="80">
        <f t="shared" si="132"/>
        <v>880223</v>
      </c>
      <c r="AM132" s="17">
        <v>212412</v>
      </c>
      <c r="AN132" s="17">
        <v>677755</v>
      </c>
      <c r="AO132" s="17">
        <v>3400</v>
      </c>
      <c r="AP132" s="74">
        <f t="shared" si="135"/>
        <v>893567</v>
      </c>
      <c r="AQ132" s="17"/>
      <c r="AR132" s="17">
        <v>0</v>
      </c>
      <c r="AS132" s="17">
        <v>0</v>
      </c>
      <c r="AT132" s="74">
        <f t="shared" si="133"/>
        <v>0</v>
      </c>
      <c r="AU132" s="80">
        <f t="shared" si="136"/>
        <v>893567</v>
      </c>
      <c r="AV132" s="17">
        <v>226348</v>
      </c>
      <c r="AW132" s="17">
        <v>677755</v>
      </c>
      <c r="AX132" s="17">
        <v>3400</v>
      </c>
      <c r="AY132" s="74">
        <f t="shared" si="137"/>
        <v>907503</v>
      </c>
      <c r="AZ132" s="17"/>
      <c r="BA132" s="17"/>
      <c r="BB132" s="17"/>
      <c r="BC132" s="74">
        <f t="shared" si="138"/>
        <v>0</v>
      </c>
      <c r="BD132" s="80">
        <f t="shared" si="139"/>
        <v>907503</v>
      </c>
    </row>
    <row r="133" spans="1:56" ht="33" customHeight="1" thickBot="1" x14ac:dyDescent="0.3">
      <c r="A133" s="88" t="s">
        <v>168</v>
      </c>
      <c r="B133" s="6" t="s">
        <v>169</v>
      </c>
      <c r="C133" s="36">
        <v>876895.04999999993</v>
      </c>
      <c r="D133" s="36">
        <v>257067.06900000002</v>
      </c>
      <c r="E133" s="36">
        <v>102939.567</v>
      </c>
      <c r="F133" s="144">
        <f t="shared" si="123"/>
        <v>1236901.686</v>
      </c>
      <c r="G133" s="36">
        <v>0</v>
      </c>
      <c r="H133" s="167"/>
      <c r="I133" s="168"/>
      <c r="J133" s="144">
        <f t="shared" si="124"/>
        <v>0</v>
      </c>
      <c r="K133" s="146">
        <f t="shared" si="125"/>
        <v>1236901.686</v>
      </c>
      <c r="L133" s="140">
        <v>793285.03899999999</v>
      </c>
      <c r="M133" s="140">
        <v>257443.43700000001</v>
      </c>
      <c r="N133" s="140">
        <v>19787.875</v>
      </c>
      <c r="O133" s="213">
        <f t="shared" si="134"/>
        <v>1070516.351</v>
      </c>
      <c r="P133" s="36"/>
      <c r="Q133" s="36">
        <v>0</v>
      </c>
      <c r="R133" s="36">
        <v>0</v>
      </c>
      <c r="S133" s="36">
        <v>0</v>
      </c>
      <c r="T133" s="162">
        <f t="shared" si="126"/>
        <v>1070516.351</v>
      </c>
      <c r="U133" s="17">
        <v>882052</v>
      </c>
      <c r="V133" s="17">
        <v>703450</v>
      </c>
      <c r="W133" s="17">
        <v>7000</v>
      </c>
      <c r="X133" s="74">
        <f t="shared" si="127"/>
        <v>1592502</v>
      </c>
      <c r="Y133" s="17"/>
      <c r="Z133" s="17">
        <v>0</v>
      </c>
      <c r="AA133" s="17">
        <v>0</v>
      </c>
      <c r="AB133" s="74">
        <f t="shared" si="128"/>
        <v>0</v>
      </c>
      <c r="AC133" s="80">
        <f t="shared" si="129"/>
        <v>1592502</v>
      </c>
      <c r="AD133" s="118">
        <v>1096314</v>
      </c>
      <c r="AE133" s="118">
        <v>702950</v>
      </c>
      <c r="AF133" s="36">
        <v>7500</v>
      </c>
      <c r="AG133" s="74">
        <f t="shared" si="130"/>
        <v>1806764</v>
      </c>
      <c r="AH133" s="17"/>
      <c r="AI133" s="17">
        <v>0</v>
      </c>
      <c r="AJ133" s="17">
        <v>0</v>
      </c>
      <c r="AK133" s="74">
        <f t="shared" si="131"/>
        <v>0</v>
      </c>
      <c r="AL133" s="80">
        <f t="shared" si="132"/>
        <v>1806764</v>
      </c>
      <c r="AM133" s="17">
        <v>1160380</v>
      </c>
      <c r="AN133" s="17">
        <v>703450</v>
      </c>
      <c r="AO133" s="17">
        <v>7000</v>
      </c>
      <c r="AP133" s="74">
        <f t="shared" si="135"/>
        <v>1870830</v>
      </c>
      <c r="AQ133" s="17"/>
      <c r="AR133" s="17">
        <v>0</v>
      </c>
      <c r="AS133" s="17">
        <v>0</v>
      </c>
      <c r="AT133" s="74">
        <f t="shared" si="133"/>
        <v>0</v>
      </c>
      <c r="AU133" s="80">
        <f t="shared" si="136"/>
        <v>1870830</v>
      </c>
      <c r="AV133" s="17">
        <v>1237122</v>
      </c>
      <c r="AW133" s="17">
        <v>703450</v>
      </c>
      <c r="AX133" s="17">
        <v>7000</v>
      </c>
      <c r="AY133" s="74">
        <f t="shared" si="137"/>
        <v>1947572</v>
      </c>
      <c r="AZ133" s="17"/>
      <c r="BA133" s="17"/>
      <c r="BB133" s="17"/>
      <c r="BC133" s="74">
        <f t="shared" si="138"/>
        <v>0</v>
      </c>
      <c r="BD133" s="80">
        <f t="shared" si="139"/>
        <v>1947572</v>
      </c>
    </row>
    <row r="134" spans="1:56" ht="17.25" thickBot="1" x14ac:dyDescent="0.3">
      <c r="A134" s="88">
        <v>101</v>
      </c>
      <c r="B134" s="6" t="s">
        <v>269</v>
      </c>
      <c r="C134" s="36">
        <v>140799.69399999999</v>
      </c>
      <c r="D134" s="36">
        <v>1740526.0220000001</v>
      </c>
      <c r="E134" s="36">
        <v>2644.5210000000002</v>
      </c>
      <c r="F134" s="144">
        <f t="shared" si="123"/>
        <v>1883970.237</v>
      </c>
      <c r="G134" s="36"/>
      <c r="H134" s="167">
        <v>0</v>
      </c>
      <c r="I134" s="168">
        <v>0</v>
      </c>
      <c r="J134" s="144">
        <f t="shared" si="124"/>
        <v>0</v>
      </c>
      <c r="K134" s="146">
        <f t="shared" si="125"/>
        <v>1883970.237</v>
      </c>
      <c r="L134" s="140">
        <v>455674.60100000002</v>
      </c>
      <c r="M134" s="140">
        <v>1910161.825</v>
      </c>
      <c r="N134" s="140">
        <v>3404.35</v>
      </c>
      <c r="O134" s="213">
        <f t="shared" si="134"/>
        <v>2369240.7760000001</v>
      </c>
      <c r="P134" s="36"/>
      <c r="Q134" s="36">
        <v>0</v>
      </c>
      <c r="R134" s="36">
        <v>0</v>
      </c>
      <c r="S134" s="36">
        <v>0</v>
      </c>
      <c r="T134" s="162">
        <f t="shared" si="126"/>
        <v>2369240.7760000001</v>
      </c>
      <c r="U134" s="17">
        <v>1666514</v>
      </c>
      <c r="V134" s="17">
        <v>2596600</v>
      </c>
      <c r="W134" s="17">
        <v>80000</v>
      </c>
      <c r="X134" s="74">
        <f t="shared" si="127"/>
        <v>4343114</v>
      </c>
      <c r="Y134" s="17"/>
      <c r="Z134" s="17">
        <v>0</v>
      </c>
      <c r="AA134" s="17">
        <v>0</v>
      </c>
      <c r="AB134" s="74"/>
      <c r="AC134" s="80">
        <f t="shared" si="129"/>
        <v>4343114</v>
      </c>
      <c r="AD134" s="124">
        <v>2371563</v>
      </c>
      <c r="AE134" s="32">
        <v>2666600</v>
      </c>
      <c r="AF134" s="32">
        <v>10000</v>
      </c>
      <c r="AG134" s="74">
        <f t="shared" si="130"/>
        <v>5048163</v>
      </c>
      <c r="AH134" s="17"/>
      <c r="AI134" s="17">
        <v>0</v>
      </c>
      <c r="AJ134" s="17">
        <v>0</v>
      </c>
      <c r="AK134" s="74"/>
      <c r="AL134" s="80">
        <f t="shared" si="132"/>
        <v>5048163</v>
      </c>
      <c r="AM134" s="17">
        <v>2411286</v>
      </c>
      <c r="AN134" s="17">
        <v>2596600</v>
      </c>
      <c r="AO134" s="17">
        <v>80000</v>
      </c>
      <c r="AP134" s="74">
        <f>SUM(AM134:AO134)</f>
        <v>5087886</v>
      </c>
      <c r="AQ134" s="17"/>
      <c r="AR134" s="17">
        <v>0</v>
      </c>
      <c r="AS134" s="17">
        <v>0</v>
      </c>
      <c r="AT134" s="74"/>
      <c r="AU134" s="80">
        <f t="shared" si="136"/>
        <v>5087886</v>
      </c>
      <c r="AV134" s="17">
        <v>2554688</v>
      </c>
      <c r="AW134" s="17">
        <v>2596600</v>
      </c>
      <c r="AX134" s="17">
        <v>80000</v>
      </c>
      <c r="AY134" s="74">
        <f t="shared" si="137"/>
        <v>5231288</v>
      </c>
      <c r="AZ134" s="17"/>
      <c r="BA134" s="17"/>
      <c r="BB134" s="17"/>
      <c r="BC134" s="74">
        <f t="shared" si="138"/>
        <v>0</v>
      </c>
      <c r="BD134" s="80">
        <f t="shared" si="139"/>
        <v>5231288</v>
      </c>
    </row>
    <row r="135" spans="1:56" ht="35.25" customHeight="1" thickBot="1" x14ac:dyDescent="0.3">
      <c r="A135" s="88" t="s">
        <v>170</v>
      </c>
      <c r="B135" s="6" t="s">
        <v>267</v>
      </c>
      <c r="C135" s="36">
        <v>315821.766</v>
      </c>
      <c r="D135" s="36">
        <v>188986.462</v>
      </c>
      <c r="E135" s="36">
        <v>196.78699999999998</v>
      </c>
      <c r="F135" s="144">
        <f t="shared" si="123"/>
        <v>505005.01500000001</v>
      </c>
      <c r="G135" s="140">
        <v>14507.85</v>
      </c>
      <c r="H135" s="167">
        <v>0</v>
      </c>
      <c r="I135" s="168">
        <v>0</v>
      </c>
      <c r="J135" s="144">
        <f t="shared" si="124"/>
        <v>14507.85</v>
      </c>
      <c r="K135" s="146">
        <f t="shared" si="125"/>
        <v>519512.86499999999</v>
      </c>
      <c r="L135" s="140">
        <v>368791.22200000001</v>
      </c>
      <c r="M135" s="140">
        <v>172254.13</v>
      </c>
      <c r="N135" s="36">
        <v>0</v>
      </c>
      <c r="O135" s="213">
        <f t="shared" si="134"/>
        <v>541045.35199999996</v>
      </c>
      <c r="P135" s="36"/>
      <c r="Q135" s="36">
        <v>0</v>
      </c>
      <c r="R135" s="36">
        <v>0</v>
      </c>
      <c r="S135" s="36">
        <v>0</v>
      </c>
      <c r="T135" s="162">
        <f t="shared" si="126"/>
        <v>541045.35199999996</v>
      </c>
      <c r="U135" s="17">
        <v>439168</v>
      </c>
      <c r="V135" s="17">
        <v>294411</v>
      </c>
      <c r="W135" s="17">
        <v>2200</v>
      </c>
      <c r="X135" s="74">
        <f t="shared" si="127"/>
        <v>735779</v>
      </c>
      <c r="Y135" s="17"/>
      <c r="Z135" s="17">
        <v>0</v>
      </c>
      <c r="AA135" s="17">
        <v>0</v>
      </c>
      <c r="AB135" s="74"/>
      <c r="AC135" s="80">
        <f t="shared" si="129"/>
        <v>735779</v>
      </c>
      <c r="AD135" s="118">
        <v>437500</v>
      </c>
      <c r="AE135" s="36">
        <v>294411</v>
      </c>
      <c r="AF135" s="36">
        <v>2200</v>
      </c>
      <c r="AG135" s="74">
        <f t="shared" si="130"/>
        <v>734111</v>
      </c>
      <c r="AH135" s="17"/>
      <c r="AI135" s="17">
        <v>0</v>
      </c>
      <c r="AJ135" s="17">
        <v>0</v>
      </c>
      <c r="AK135" s="74"/>
      <c r="AL135" s="80">
        <f t="shared" si="132"/>
        <v>734111</v>
      </c>
      <c r="AM135" s="17">
        <v>466834</v>
      </c>
      <c r="AN135" s="17">
        <v>294411</v>
      </c>
      <c r="AO135" s="17">
        <v>2200</v>
      </c>
      <c r="AP135" s="74">
        <f t="shared" si="135"/>
        <v>763445</v>
      </c>
      <c r="AQ135" s="17"/>
      <c r="AR135" s="17">
        <v>0</v>
      </c>
      <c r="AS135" s="17">
        <v>0</v>
      </c>
      <c r="AT135" s="74"/>
      <c r="AU135" s="80">
        <f t="shared" si="136"/>
        <v>763445</v>
      </c>
      <c r="AV135" s="17">
        <v>497459</v>
      </c>
      <c r="AW135" s="17">
        <v>294411</v>
      </c>
      <c r="AX135" s="17">
        <v>2200</v>
      </c>
      <c r="AY135" s="74">
        <f t="shared" si="137"/>
        <v>794070</v>
      </c>
      <c r="AZ135" s="17"/>
      <c r="BA135" s="17"/>
      <c r="BB135" s="17"/>
      <c r="BC135" s="74">
        <f t="shared" si="138"/>
        <v>0</v>
      </c>
      <c r="BD135" s="80">
        <f t="shared" si="139"/>
        <v>794070</v>
      </c>
    </row>
    <row r="136" spans="1:56" ht="17.25" thickBot="1" x14ac:dyDescent="0.3">
      <c r="A136" s="88" t="s">
        <v>170</v>
      </c>
      <c r="B136" s="6" t="s">
        <v>171</v>
      </c>
      <c r="C136" s="36">
        <v>1734695.5120000001</v>
      </c>
      <c r="D136" s="36">
        <v>7288730.4309999999</v>
      </c>
      <c r="E136" s="36">
        <v>15476184.455</v>
      </c>
      <c r="F136" s="144">
        <f>SUM(C136:E136)</f>
        <v>24499610.398000002</v>
      </c>
      <c r="G136" s="32">
        <v>0</v>
      </c>
      <c r="H136" s="167">
        <v>0</v>
      </c>
      <c r="I136" s="168">
        <v>5000000</v>
      </c>
      <c r="J136" s="144">
        <f>G136+H136</f>
        <v>0</v>
      </c>
      <c r="K136" s="146">
        <f t="shared" si="125"/>
        <v>24499610.398000002</v>
      </c>
      <c r="L136" s="140">
        <v>1774276.183</v>
      </c>
      <c r="M136" s="140">
        <v>7551155.8080000002</v>
      </c>
      <c r="N136" s="140">
        <v>21284084.727000002</v>
      </c>
      <c r="O136" s="213">
        <f t="shared" si="134"/>
        <v>30609516.718000002</v>
      </c>
      <c r="P136" s="140">
        <v>125387.162</v>
      </c>
      <c r="Q136" s="209">
        <v>11849520.444</v>
      </c>
      <c r="R136" s="140">
        <v>834854.32900000003</v>
      </c>
      <c r="S136" s="30">
        <f>P136+Q136+R136</f>
        <v>12809761.935000001</v>
      </c>
      <c r="T136" s="162">
        <f t="shared" si="126"/>
        <v>43419278.653000005</v>
      </c>
      <c r="U136" s="7">
        <v>1830087</v>
      </c>
      <c r="V136" s="7">
        <v>9335168</v>
      </c>
      <c r="W136" s="7">
        <v>22718135</v>
      </c>
      <c r="X136" s="74">
        <f t="shared" si="127"/>
        <v>33883390</v>
      </c>
      <c r="Y136" s="7">
        <v>900000</v>
      </c>
      <c r="Z136" s="17">
        <v>2111018</v>
      </c>
      <c r="AA136" s="7">
        <v>4099088</v>
      </c>
      <c r="AB136" s="74">
        <f>Y136+Z136+AA136</f>
        <v>7110106</v>
      </c>
      <c r="AC136" s="80">
        <f t="shared" si="129"/>
        <v>40993496</v>
      </c>
      <c r="AD136" s="119">
        <v>1731295</v>
      </c>
      <c r="AE136" s="120">
        <v>9335168</v>
      </c>
      <c r="AF136" s="119">
        <v>25767900</v>
      </c>
      <c r="AG136" s="74">
        <f t="shared" si="130"/>
        <v>36834363</v>
      </c>
      <c r="AH136" s="111">
        <v>900000</v>
      </c>
      <c r="AI136" s="110">
        <v>3534032</v>
      </c>
      <c r="AJ136" s="113">
        <f>'[2]CDMT init 2025-2027'!$U$648/1000</f>
        <v>10213000</v>
      </c>
      <c r="AK136" s="74">
        <f>AH136+AI136+AJ136</f>
        <v>14647032</v>
      </c>
      <c r="AL136" s="80">
        <f t="shared" si="132"/>
        <v>51481395</v>
      </c>
      <c r="AM136" s="7">
        <v>1807866</v>
      </c>
      <c r="AN136" s="7">
        <v>9335168</v>
      </c>
      <c r="AO136" s="7">
        <v>25767900</v>
      </c>
      <c r="AP136" s="74">
        <f t="shared" si="135"/>
        <v>36910934</v>
      </c>
      <c r="AQ136" s="7">
        <v>900000</v>
      </c>
      <c r="AR136" s="17">
        <v>3534032</v>
      </c>
      <c r="AS136" s="7">
        <v>7328000</v>
      </c>
      <c r="AT136" s="74">
        <f>SUM(AQ136:AS136)</f>
        <v>11762032</v>
      </c>
      <c r="AU136" s="80">
        <f t="shared" si="136"/>
        <v>48672966</v>
      </c>
      <c r="AV136" s="7">
        <v>1865304</v>
      </c>
      <c r="AW136" s="7">
        <v>9335168</v>
      </c>
      <c r="AX136" s="7">
        <v>25767900</v>
      </c>
      <c r="AY136" s="74">
        <f t="shared" si="137"/>
        <v>36968372</v>
      </c>
      <c r="AZ136" s="7">
        <v>900000</v>
      </c>
      <c r="BA136" s="17">
        <v>3534032</v>
      </c>
      <c r="BB136" s="7">
        <v>2000000</v>
      </c>
      <c r="BC136" s="74">
        <f t="shared" si="138"/>
        <v>6434032</v>
      </c>
      <c r="BD136" s="80">
        <f t="shared" si="139"/>
        <v>43402404</v>
      </c>
    </row>
    <row r="137" spans="1:56" ht="17.25" thickBot="1" x14ac:dyDescent="0.3">
      <c r="A137" s="88" t="s">
        <v>11</v>
      </c>
      <c r="B137" s="6" t="s">
        <v>268</v>
      </c>
      <c r="C137" s="36">
        <v>0</v>
      </c>
      <c r="D137" s="36">
        <v>0</v>
      </c>
      <c r="E137" s="36">
        <v>488277</v>
      </c>
      <c r="F137" s="144">
        <f>SUM(C137:E137)</f>
        <v>488277</v>
      </c>
      <c r="G137" s="30"/>
      <c r="H137" s="167">
        <v>0</v>
      </c>
      <c r="I137" s="168">
        <v>0</v>
      </c>
      <c r="J137" s="144">
        <f t="shared" si="124"/>
        <v>0</v>
      </c>
      <c r="K137" s="146">
        <f t="shared" si="125"/>
        <v>488277</v>
      </c>
      <c r="L137" s="30">
        <v>0</v>
      </c>
      <c r="M137" s="30">
        <v>0</v>
      </c>
      <c r="N137" s="140">
        <v>488277</v>
      </c>
      <c r="O137" s="213">
        <f t="shared" si="134"/>
        <v>488277</v>
      </c>
      <c r="P137" s="30"/>
      <c r="Q137" s="36">
        <v>0</v>
      </c>
      <c r="R137" s="30">
        <v>0</v>
      </c>
      <c r="S137" s="30">
        <v>0</v>
      </c>
      <c r="T137" s="162">
        <f t="shared" si="126"/>
        <v>488277</v>
      </c>
      <c r="U137" s="7">
        <v>0</v>
      </c>
      <c r="V137" s="7">
        <v>0</v>
      </c>
      <c r="W137" s="7">
        <v>488277</v>
      </c>
      <c r="X137" s="74">
        <f t="shared" si="127"/>
        <v>488277</v>
      </c>
      <c r="Y137" s="7"/>
      <c r="Z137" s="17">
        <v>0</v>
      </c>
      <c r="AA137" s="7">
        <v>0</v>
      </c>
      <c r="AB137" s="74">
        <f>Y137+Z137+AA137</f>
        <v>0</v>
      </c>
      <c r="AC137" s="80">
        <f t="shared" si="129"/>
        <v>488277</v>
      </c>
      <c r="AD137" s="36">
        <v>0</v>
      </c>
      <c r="AE137" s="36">
        <v>0</v>
      </c>
      <c r="AF137" s="36">
        <v>638277</v>
      </c>
      <c r="AG137" s="74">
        <f t="shared" si="130"/>
        <v>638277</v>
      </c>
      <c r="AH137" s="7"/>
      <c r="AI137" s="17">
        <v>0</v>
      </c>
      <c r="AJ137" s="7">
        <v>0</v>
      </c>
      <c r="AK137" s="74">
        <f>AH137+AI137+AJ137</f>
        <v>0</v>
      </c>
      <c r="AL137" s="80">
        <f t="shared" si="132"/>
        <v>638277</v>
      </c>
      <c r="AM137" s="7">
        <v>0</v>
      </c>
      <c r="AN137" s="7">
        <v>0</v>
      </c>
      <c r="AO137" s="7">
        <v>638277</v>
      </c>
      <c r="AP137" s="74">
        <f t="shared" si="135"/>
        <v>638277</v>
      </c>
      <c r="AQ137" s="7"/>
      <c r="AR137" s="17">
        <v>0</v>
      </c>
      <c r="AS137" s="7">
        <v>0</v>
      </c>
      <c r="AT137" s="74">
        <f>AQ137+AR137+AS137</f>
        <v>0</v>
      </c>
      <c r="AU137" s="80">
        <f t="shared" si="136"/>
        <v>638277</v>
      </c>
      <c r="AV137" s="7">
        <v>0</v>
      </c>
      <c r="AW137" s="7">
        <v>0</v>
      </c>
      <c r="AX137" s="7">
        <v>638277</v>
      </c>
      <c r="AY137" s="74">
        <f t="shared" si="137"/>
        <v>638277</v>
      </c>
      <c r="AZ137" s="7">
        <v>0</v>
      </c>
      <c r="BA137" s="17">
        <v>0</v>
      </c>
      <c r="BB137" s="7">
        <v>0</v>
      </c>
      <c r="BC137" s="74">
        <f t="shared" si="138"/>
        <v>0</v>
      </c>
      <c r="BD137" s="80">
        <f t="shared" si="139"/>
        <v>638277</v>
      </c>
    </row>
    <row r="138" spans="1:56" ht="33.75" thickBot="1" x14ac:dyDescent="0.3">
      <c r="A138" s="88" t="s">
        <v>172</v>
      </c>
      <c r="B138" s="6" t="s">
        <v>173</v>
      </c>
      <c r="C138" s="36">
        <v>55502325.427999996</v>
      </c>
      <c r="D138" s="36">
        <v>42778602.123999998</v>
      </c>
      <c r="E138" s="36">
        <v>269269066.52899998</v>
      </c>
      <c r="F138" s="144">
        <f>C138+D138+E138</f>
        <v>367549994.08099997</v>
      </c>
      <c r="G138" s="30">
        <v>0</v>
      </c>
      <c r="H138" s="167">
        <v>0</v>
      </c>
      <c r="I138" s="168">
        <v>0</v>
      </c>
      <c r="J138" s="144">
        <f t="shared" si="124"/>
        <v>0</v>
      </c>
      <c r="K138" s="146">
        <f t="shared" si="125"/>
        <v>367549994.08099997</v>
      </c>
      <c r="L138" s="140">
        <v>33012459.780999999</v>
      </c>
      <c r="M138" s="211">
        <v>11546406.01</v>
      </c>
      <c r="N138" s="210">
        <v>305613582.199</v>
      </c>
      <c r="O138" s="213">
        <f t="shared" si="134"/>
        <v>350172447.99000001</v>
      </c>
      <c r="P138" s="30">
        <v>0</v>
      </c>
      <c r="Q138" s="36">
        <v>0</v>
      </c>
      <c r="R138" s="30">
        <v>0</v>
      </c>
      <c r="S138" s="30">
        <v>0</v>
      </c>
      <c r="T138" s="162">
        <f t="shared" si="126"/>
        <v>350172447.99000001</v>
      </c>
      <c r="U138" s="32">
        <v>70018540</v>
      </c>
      <c r="V138" s="32">
        <v>9352527</v>
      </c>
      <c r="W138" s="32">
        <v>267200566</v>
      </c>
      <c r="X138" s="74">
        <f t="shared" si="127"/>
        <v>346571633</v>
      </c>
      <c r="Y138" s="7">
        <v>0</v>
      </c>
      <c r="Z138" s="17">
        <v>0</v>
      </c>
      <c r="AA138" s="7">
        <v>0</v>
      </c>
      <c r="AB138" s="74">
        <f>SUM(Y138:AA138)</f>
        <v>0</v>
      </c>
      <c r="AC138" s="80">
        <f t="shared" si="129"/>
        <v>346571633</v>
      </c>
      <c r="AD138" s="32">
        <v>72508218</v>
      </c>
      <c r="AE138" s="32">
        <v>15949313</v>
      </c>
      <c r="AF138" s="32">
        <v>306314236</v>
      </c>
      <c r="AG138" s="74">
        <f t="shared" si="130"/>
        <v>394771767</v>
      </c>
      <c r="AH138" s="7">
        <v>0</v>
      </c>
      <c r="AI138" s="17">
        <v>0</v>
      </c>
      <c r="AJ138" s="7">
        <v>0</v>
      </c>
      <c r="AK138" s="74">
        <f>SUM(AH138:AJ138)</f>
        <v>0</v>
      </c>
      <c r="AL138" s="80">
        <f t="shared" si="132"/>
        <v>394771767</v>
      </c>
      <c r="AM138" s="32">
        <v>78567560</v>
      </c>
      <c r="AN138" s="32">
        <v>21246587</v>
      </c>
      <c r="AO138" s="32">
        <v>315256684</v>
      </c>
      <c r="AP138" s="74">
        <f t="shared" si="135"/>
        <v>415070831</v>
      </c>
      <c r="AQ138" s="7">
        <v>0</v>
      </c>
      <c r="AR138" s="17">
        <v>0</v>
      </c>
      <c r="AS138" s="7">
        <v>0</v>
      </c>
      <c r="AT138" s="74">
        <f>SUM(AQ138:AS138)</f>
        <v>0</v>
      </c>
      <c r="AU138" s="80">
        <f t="shared" si="136"/>
        <v>415070831</v>
      </c>
      <c r="AV138" s="32">
        <v>85617907</v>
      </c>
      <c r="AW138" s="32">
        <v>33776187</v>
      </c>
      <c r="AX138" s="32">
        <v>357869084</v>
      </c>
      <c r="AY138" s="74">
        <f t="shared" si="137"/>
        <v>477263178</v>
      </c>
      <c r="AZ138" s="7"/>
      <c r="BA138" s="17"/>
      <c r="BB138" s="7"/>
      <c r="BC138" s="74">
        <f t="shared" si="138"/>
        <v>0</v>
      </c>
      <c r="BD138" s="80">
        <f t="shared" si="139"/>
        <v>477263178</v>
      </c>
    </row>
    <row r="139" spans="1:56" ht="49.5" x14ac:dyDescent="0.25">
      <c r="A139" s="88" t="s">
        <v>174</v>
      </c>
      <c r="B139" s="6" t="s">
        <v>175</v>
      </c>
      <c r="C139" s="30"/>
      <c r="D139" s="30">
        <v>0</v>
      </c>
      <c r="E139" s="19"/>
      <c r="F139" s="144">
        <v>0</v>
      </c>
      <c r="G139" s="30">
        <v>0</v>
      </c>
      <c r="H139" s="167">
        <v>0</v>
      </c>
      <c r="I139" s="168">
        <v>0</v>
      </c>
      <c r="J139" s="144">
        <f t="shared" si="124"/>
        <v>0</v>
      </c>
      <c r="K139" s="146">
        <f t="shared" si="125"/>
        <v>0</v>
      </c>
      <c r="L139" s="30"/>
      <c r="M139" s="30"/>
      <c r="N139" s="30"/>
      <c r="O139" s="213">
        <v>0</v>
      </c>
      <c r="P139" s="30">
        <v>0</v>
      </c>
      <c r="Q139" s="36">
        <v>0</v>
      </c>
      <c r="R139" s="30">
        <v>0</v>
      </c>
      <c r="S139" s="30">
        <v>0</v>
      </c>
      <c r="T139" s="162">
        <f t="shared" si="126"/>
        <v>0</v>
      </c>
      <c r="U139" s="7">
        <v>0</v>
      </c>
      <c r="V139" s="7"/>
      <c r="W139" s="7">
        <v>0</v>
      </c>
      <c r="X139" s="74">
        <v>596579</v>
      </c>
      <c r="Y139" s="7">
        <v>0</v>
      </c>
      <c r="Z139" s="17">
        <v>0</v>
      </c>
      <c r="AA139" s="7">
        <v>0</v>
      </c>
      <c r="AB139" s="74">
        <v>0</v>
      </c>
      <c r="AC139" s="80">
        <f t="shared" si="129"/>
        <v>596579</v>
      </c>
      <c r="AD139" s="7">
        <v>0</v>
      </c>
      <c r="AE139" s="7"/>
      <c r="AF139" s="7">
        <v>0</v>
      </c>
      <c r="AG139" s="107">
        <v>645200</v>
      </c>
      <c r="AH139" s="7">
        <v>0</v>
      </c>
      <c r="AI139" s="17">
        <v>0</v>
      </c>
      <c r="AJ139" s="7">
        <v>0</v>
      </c>
      <c r="AK139" s="74">
        <v>0</v>
      </c>
      <c r="AL139" s="80">
        <f t="shared" si="132"/>
        <v>645200</v>
      </c>
      <c r="AM139" s="7">
        <v>0</v>
      </c>
      <c r="AN139" s="7"/>
      <c r="AO139" s="7">
        <v>0</v>
      </c>
      <c r="AP139" s="74">
        <v>645200</v>
      </c>
      <c r="AQ139" s="7">
        <v>0</v>
      </c>
      <c r="AR139" s="17">
        <v>0</v>
      </c>
      <c r="AS139" s="7">
        <v>0</v>
      </c>
      <c r="AT139" s="74">
        <f>SUM(AQ139:AS139)</f>
        <v>0</v>
      </c>
      <c r="AU139" s="80">
        <f t="shared" si="136"/>
        <v>645200</v>
      </c>
      <c r="AV139" s="7"/>
      <c r="AW139" s="7"/>
      <c r="AX139" s="7"/>
      <c r="AY139" s="74">
        <v>645200</v>
      </c>
      <c r="AZ139" s="7"/>
      <c r="BA139" s="17"/>
      <c r="BB139" s="7"/>
      <c r="BC139" s="74">
        <f t="shared" si="138"/>
        <v>0</v>
      </c>
      <c r="BD139" s="80">
        <f t="shared" si="139"/>
        <v>645200</v>
      </c>
    </row>
    <row r="140" spans="1:56" ht="21.6" customHeight="1" x14ac:dyDescent="0.25">
      <c r="A140" s="89" t="s">
        <v>180</v>
      </c>
      <c r="B140" s="133" t="s">
        <v>176</v>
      </c>
      <c r="C140" s="35"/>
      <c r="D140" s="35"/>
      <c r="E140" s="35"/>
      <c r="F140" s="108">
        <v>0</v>
      </c>
      <c r="G140" s="35"/>
      <c r="H140" s="167">
        <v>0</v>
      </c>
      <c r="I140" s="168">
        <v>0</v>
      </c>
      <c r="J140" s="108">
        <f t="shared" si="124"/>
        <v>0</v>
      </c>
      <c r="K140" s="159">
        <f>'[1]Classification prog-économi (2'!$Y$132</f>
        <v>178665100</v>
      </c>
      <c r="L140" s="35"/>
      <c r="M140" s="35"/>
      <c r="N140" s="35"/>
      <c r="O140" s="213">
        <v>0</v>
      </c>
      <c r="P140" s="35"/>
      <c r="Q140" s="215">
        <v>0</v>
      </c>
      <c r="R140" s="35">
        <v>0</v>
      </c>
      <c r="S140" s="35">
        <v>0</v>
      </c>
      <c r="T140" s="162">
        <v>190228310</v>
      </c>
      <c r="U140" s="11"/>
      <c r="V140" s="11"/>
      <c r="W140" s="11"/>
      <c r="X140" s="134">
        <v>210003421</v>
      </c>
      <c r="Y140" s="11"/>
      <c r="Z140" s="135">
        <v>0</v>
      </c>
      <c r="AA140" s="11">
        <v>0</v>
      </c>
      <c r="AB140" s="134">
        <f>SUM(Y140:AA140)</f>
        <v>0</v>
      </c>
      <c r="AC140" s="83">
        <f t="shared" si="129"/>
        <v>210003421</v>
      </c>
      <c r="AD140" s="11"/>
      <c r="AE140" s="11"/>
      <c r="AF140" s="11"/>
      <c r="AG140" s="108">
        <f>'[2]CDMT init 2025-2027'!$U$767/1000-AG139</f>
        <v>238354800</v>
      </c>
      <c r="AH140" s="11"/>
      <c r="AI140" s="135">
        <v>0</v>
      </c>
      <c r="AJ140" s="11">
        <v>0</v>
      </c>
      <c r="AK140" s="134">
        <f>SUM(AH140:AJ140)</f>
        <v>0</v>
      </c>
      <c r="AL140" s="83">
        <f t="shared" si="132"/>
        <v>238354800</v>
      </c>
      <c r="AM140" s="11"/>
      <c r="AN140" s="11"/>
      <c r="AO140" s="11"/>
      <c r="AP140" s="134">
        <v>261754800</v>
      </c>
      <c r="AQ140" s="11"/>
      <c r="AR140" s="135">
        <v>0</v>
      </c>
      <c r="AS140" s="11">
        <v>0</v>
      </c>
      <c r="AT140" s="134">
        <f>SUM(AQ140:AS140)</f>
        <v>0</v>
      </c>
      <c r="AU140" s="83">
        <f t="shared" si="136"/>
        <v>261754800</v>
      </c>
      <c r="AV140" s="11"/>
      <c r="AW140" s="11"/>
      <c r="AX140" s="11"/>
      <c r="AY140" s="134">
        <v>285454800</v>
      </c>
      <c r="AZ140" s="11"/>
      <c r="BA140" s="135"/>
      <c r="BB140" s="11"/>
      <c r="BC140" s="134">
        <f t="shared" si="138"/>
        <v>0</v>
      </c>
      <c r="BD140" s="83">
        <f t="shared" si="139"/>
        <v>285454800</v>
      </c>
    </row>
    <row r="141" spans="1:56" ht="8.4499999999999993" customHeight="1" x14ac:dyDescent="0.25">
      <c r="A141" s="12"/>
      <c r="B141" s="12"/>
      <c r="C141" s="155"/>
      <c r="D141" s="155"/>
      <c r="E141" s="155"/>
      <c r="F141" s="12"/>
      <c r="G141" s="12"/>
      <c r="H141" s="165"/>
      <c r="I141" s="166"/>
      <c r="J141" s="164"/>
      <c r="K141" s="164"/>
      <c r="L141" s="155"/>
      <c r="M141" s="155"/>
      <c r="N141" s="155"/>
      <c r="O141" s="213"/>
      <c r="P141" s="155"/>
      <c r="Q141" s="155"/>
      <c r="R141" s="155"/>
      <c r="S141" s="155"/>
      <c r="T141" s="164"/>
      <c r="U141" s="12"/>
      <c r="V141" s="12"/>
      <c r="W141" s="12"/>
      <c r="X141" s="12"/>
      <c r="Y141" s="12"/>
      <c r="Z141" s="12"/>
      <c r="AA141" s="12"/>
      <c r="AB141" s="132"/>
      <c r="AC141" s="132"/>
      <c r="AD141" s="12"/>
      <c r="AE141" s="12"/>
      <c r="AF141" s="12"/>
      <c r="AG141" s="12"/>
      <c r="AH141" s="12"/>
      <c r="AI141" s="12"/>
      <c r="AJ141" s="12"/>
      <c r="AK141" s="132"/>
      <c r="AL141" s="132"/>
      <c r="AM141" s="12"/>
      <c r="AN141" s="12"/>
      <c r="AO141" s="12"/>
      <c r="AP141" s="12"/>
      <c r="AQ141" s="12"/>
      <c r="AR141" s="12"/>
      <c r="AS141" s="12"/>
      <c r="AT141" s="132"/>
      <c r="AU141" s="132"/>
      <c r="AV141" s="12"/>
      <c r="AW141" s="12"/>
      <c r="AX141" s="12"/>
      <c r="AY141" s="12"/>
      <c r="AZ141" s="12"/>
      <c r="BA141" s="12"/>
      <c r="BB141" s="12"/>
      <c r="BC141" s="132"/>
      <c r="BD141" s="132"/>
    </row>
    <row r="142" spans="1:56" ht="22.5" customHeight="1" x14ac:dyDescent="0.25">
      <c r="A142" s="185" t="s">
        <v>177</v>
      </c>
      <c r="B142" s="185"/>
      <c r="C142" s="150">
        <f t="shared" ref="C142:I142" si="140">C123+C125</f>
        <v>444109662.85800004</v>
      </c>
      <c r="D142" s="150">
        <f t="shared" si="140"/>
        <v>153782983.19999999</v>
      </c>
      <c r="E142" s="150">
        <f t="shared" si="140"/>
        <v>526135905.91900003</v>
      </c>
      <c r="F142" s="18">
        <f>C142+D142+E142+F140</f>
        <v>1124028551.9770002</v>
      </c>
      <c r="G142" s="150">
        <f t="shared" si="140"/>
        <v>572410032.81800008</v>
      </c>
      <c r="H142" s="150">
        <f t="shared" si="140"/>
        <v>361872712.75730574</v>
      </c>
      <c r="I142" s="150">
        <f t="shared" si="140"/>
        <v>350709605.73961794</v>
      </c>
      <c r="J142" s="150">
        <f>J123+J125</f>
        <v>934282745.57530582</v>
      </c>
      <c r="K142" s="150">
        <f>K123+K125</f>
        <v>2242560837.5523057</v>
      </c>
      <c r="L142" s="150">
        <f>L123+L125</f>
        <v>509916718.148</v>
      </c>
      <c r="M142" s="150">
        <f>M123+M125</f>
        <v>149157882.546</v>
      </c>
      <c r="N142" s="150">
        <f>N123+N125</f>
        <v>570994410.84799993</v>
      </c>
      <c r="O142" s="213">
        <f>L142+M142+N142+O139+O140</f>
        <v>1230069011.5419998</v>
      </c>
      <c r="P142" s="150">
        <f>P123+P125</f>
        <v>582850107.51800001</v>
      </c>
      <c r="Q142" s="150">
        <f>Q123+Q125</f>
        <v>79820309.550999999</v>
      </c>
      <c r="R142" s="150">
        <f>R123+R125</f>
        <v>351716331.82003063</v>
      </c>
      <c r="S142" s="150">
        <f>S123+S125</f>
        <v>1014386748.8890307</v>
      </c>
      <c r="T142" s="150">
        <f>T123+T125</f>
        <v>2447145439.1810308</v>
      </c>
      <c r="U142" s="18">
        <f>U123+U125+U140</f>
        <v>596035000</v>
      </c>
      <c r="V142" s="18">
        <f>V123+V125+V140</f>
        <v>190865000</v>
      </c>
      <c r="W142" s="18">
        <f>W123+W125+W140</f>
        <v>582800000</v>
      </c>
      <c r="X142" s="18">
        <f>U142+V142+W142+X139+X140</f>
        <v>1580300000</v>
      </c>
      <c r="Y142" s="18">
        <f>Y123+Y125+Y140</f>
        <v>581784000</v>
      </c>
      <c r="Z142" s="18">
        <f>Z123+Z125+Z140</f>
        <v>66700000</v>
      </c>
      <c r="AA142" s="18">
        <f>AA123+AA125+AA140</f>
        <v>322916000</v>
      </c>
      <c r="AB142" s="18">
        <f>AB123+AB125+AB140</f>
        <v>971400000</v>
      </c>
      <c r="AC142" s="18">
        <f>X142+AB142</f>
        <v>2551700000</v>
      </c>
      <c r="AD142" s="18">
        <f>AD123+AD125+AD140</f>
        <v>633882000</v>
      </c>
      <c r="AE142" s="18">
        <f>AE123+AE125+AE140</f>
        <v>226017999.99199998</v>
      </c>
      <c r="AF142" s="18">
        <f>AF123+AF125+AF140</f>
        <v>669300000</v>
      </c>
      <c r="AG142" s="18">
        <f>AD142+AE142+AF142+AG139+AG140</f>
        <v>1768199999.9920001</v>
      </c>
      <c r="AH142" s="18">
        <f>AH123+AH125+AH140</f>
        <v>584062000</v>
      </c>
      <c r="AI142" s="18">
        <f>AI123+AI125+AI140</f>
        <v>63083000</v>
      </c>
      <c r="AJ142" s="18">
        <f>AJ123+AJ125+AJ140</f>
        <v>363174000</v>
      </c>
      <c r="AK142" s="18">
        <f>AK123+AK125+AK140</f>
        <v>1010319000</v>
      </c>
      <c r="AL142" s="18">
        <f>AG142+AK142</f>
        <v>2778518999.9920001</v>
      </c>
      <c r="AM142" s="18">
        <f t="shared" ref="AM142:BD142" si="141">AM123+AM125</f>
        <v>689147575</v>
      </c>
      <c r="AN142" s="18">
        <f t="shared" si="141"/>
        <v>228502923</v>
      </c>
      <c r="AO142" s="18">
        <f t="shared" si="141"/>
        <v>707649502</v>
      </c>
      <c r="AP142" s="18">
        <f>AM142+AN142+AO142+AP140+AP139</f>
        <v>1887700000</v>
      </c>
      <c r="AQ142" s="18">
        <f t="shared" si="141"/>
        <v>666897000</v>
      </c>
      <c r="AR142" s="18">
        <f t="shared" si="141"/>
        <v>76400000</v>
      </c>
      <c r="AS142" s="18">
        <f t="shared" si="141"/>
        <v>391703000</v>
      </c>
      <c r="AT142" s="18">
        <f t="shared" si="141"/>
        <v>1135000000</v>
      </c>
      <c r="AU142" s="18">
        <f>AP142+AT142</f>
        <v>3022700000</v>
      </c>
      <c r="AV142" s="18">
        <f t="shared" si="141"/>
        <v>740592108</v>
      </c>
      <c r="AW142" s="18">
        <f t="shared" si="141"/>
        <v>241071521</v>
      </c>
      <c r="AX142" s="18">
        <f t="shared" si="141"/>
        <v>762436371</v>
      </c>
      <c r="AY142" s="18">
        <f>AV142+AW142+AX142+AY139+AY140</f>
        <v>2030200000</v>
      </c>
      <c r="AZ142" s="18">
        <f t="shared" si="141"/>
        <v>793780000</v>
      </c>
      <c r="BA142" s="18">
        <f t="shared" si="141"/>
        <v>66200000</v>
      </c>
      <c r="BB142" s="18">
        <f t="shared" si="141"/>
        <v>429720000</v>
      </c>
      <c r="BC142" s="18">
        <f t="shared" si="141"/>
        <v>1289700000</v>
      </c>
      <c r="BD142" s="18">
        <f t="shared" si="141"/>
        <v>3319900000</v>
      </c>
    </row>
    <row r="143" spans="1:56" ht="16.5" x14ac:dyDescent="0.25">
      <c r="L143" s="22"/>
      <c r="M143" s="22"/>
      <c r="N143" s="22"/>
      <c r="P143" s="22"/>
      <c r="Q143" s="22"/>
      <c r="T143" s="22"/>
      <c r="U143" s="22"/>
      <c r="V143" s="22"/>
      <c r="AD143" s="22"/>
      <c r="AE143" s="22"/>
      <c r="AF143" s="22"/>
      <c r="AG143" s="22"/>
      <c r="AH143" s="22"/>
      <c r="AI143" s="121"/>
      <c r="AJ143" s="122"/>
      <c r="AK143" s="22"/>
      <c r="AL143" s="22"/>
      <c r="AM143" s="22"/>
      <c r="AN143" s="22"/>
      <c r="AO143" s="22"/>
      <c r="AP143" s="22"/>
      <c r="AT143" s="22"/>
      <c r="AU143" s="22"/>
      <c r="AV143" s="22"/>
      <c r="AW143" s="22"/>
      <c r="AX143" s="22"/>
      <c r="AY143" s="22"/>
      <c r="BA143" s="22"/>
      <c r="BC143" s="22"/>
      <c r="BD143" s="22"/>
    </row>
    <row r="144" spans="1:56" x14ac:dyDescent="0.25">
      <c r="C144" s="19"/>
      <c r="D144" s="22"/>
      <c r="E144" s="22"/>
      <c r="F144" s="22"/>
      <c r="G144" s="22"/>
      <c r="H144" s="22"/>
      <c r="J144" s="22"/>
      <c r="K144" s="22"/>
      <c r="L144" s="22"/>
      <c r="M144" s="22"/>
      <c r="N144" s="22"/>
      <c r="O144" s="22"/>
      <c r="Q144" s="22"/>
      <c r="R144" s="22"/>
      <c r="W144" s="22"/>
      <c r="AA144" s="22"/>
      <c r="AB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R144" s="22"/>
      <c r="AS144" s="22"/>
      <c r="AT144" s="22"/>
      <c r="AU144" s="22"/>
      <c r="AV144" s="22"/>
      <c r="AW144" s="22"/>
      <c r="AX144" s="22"/>
      <c r="AY144" s="22"/>
      <c r="AZ144" s="22"/>
      <c r="BC144" s="22"/>
      <c r="BD144" s="22"/>
    </row>
    <row r="145" spans="4:55" x14ac:dyDescent="0.25">
      <c r="D145" s="22"/>
      <c r="G145" s="22"/>
      <c r="M145" s="22"/>
      <c r="P145" s="19"/>
      <c r="Q145" s="22"/>
      <c r="U145" s="22"/>
      <c r="W145" s="22"/>
      <c r="Y145" s="22"/>
      <c r="Z145" s="22"/>
      <c r="AD145" s="22"/>
      <c r="AG145" s="22"/>
      <c r="AH145" s="22"/>
      <c r="AI145" s="22"/>
      <c r="AL145" s="22"/>
      <c r="AM145" s="22"/>
      <c r="AN145" s="22"/>
      <c r="AO145" s="22"/>
      <c r="AP145" s="22"/>
      <c r="AQ145" s="22"/>
      <c r="AR145" s="22"/>
      <c r="AU145" s="22"/>
      <c r="AV145" s="22"/>
      <c r="AW145" s="22"/>
      <c r="AX145" s="22"/>
      <c r="AZ145" s="22"/>
      <c r="BA145" s="22"/>
      <c r="BB145" s="22"/>
      <c r="BC145" s="22"/>
    </row>
    <row r="146" spans="4:55" x14ac:dyDescent="0.25">
      <c r="W146" s="22"/>
      <c r="AX146" s="22"/>
    </row>
    <row r="147" spans="4:55" x14ac:dyDescent="0.25">
      <c r="AQ147" s="22"/>
      <c r="AX147" s="22"/>
    </row>
    <row r="149" spans="4:55" x14ac:dyDescent="0.25">
      <c r="AO149" s="22"/>
    </row>
  </sheetData>
  <mergeCells count="117">
    <mergeCell ref="A123:B123"/>
    <mergeCell ref="A125:B125"/>
    <mergeCell ref="A142:B142"/>
    <mergeCell ref="C5:F5"/>
    <mergeCell ref="G5:J5"/>
    <mergeCell ref="A87:B87"/>
    <mergeCell ref="A94:B94"/>
    <mergeCell ref="A99:B99"/>
    <mergeCell ref="A103:B103"/>
    <mergeCell ref="A107:B107"/>
    <mergeCell ref="A112:B112"/>
    <mergeCell ref="A57:B57"/>
    <mergeCell ref="A62:B62"/>
    <mergeCell ref="A67:B67"/>
    <mergeCell ref="A74:B74"/>
    <mergeCell ref="A80:B80"/>
    <mergeCell ref="A52:B52"/>
    <mergeCell ref="H6:I6"/>
    <mergeCell ref="H11:I11"/>
    <mergeCell ref="H12:I12"/>
    <mergeCell ref="H13:I13"/>
    <mergeCell ref="H14:I14"/>
    <mergeCell ref="BA3:BC3"/>
    <mergeCell ref="V2:Z2"/>
    <mergeCell ref="A7:B7"/>
    <mergeCell ref="A10:B10"/>
    <mergeCell ref="A16:B16"/>
    <mergeCell ref="A20:B20"/>
    <mergeCell ref="AV4:BD4"/>
    <mergeCell ref="AV5:AY5"/>
    <mergeCell ref="AZ5:BD5"/>
    <mergeCell ref="AM4:AU4"/>
    <mergeCell ref="C4:K4"/>
    <mergeCell ref="L4:T4"/>
    <mergeCell ref="U4:AC4"/>
    <mergeCell ref="AD4:AL4"/>
    <mergeCell ref="A84:B84"/>
    <mergeCell ref="A29:B29"/>
    <mergeCell ref="AQ5:AU5"/>
    <mergeCell ref="AH5:AL5"/>
    <mergeCell ref="AM5:AP5"/>
    <mergeCell ref="A35:B35"/>
    <mergeCell ref="A40:B40"/>
    <mergeCell ref="A44:B44"/>
    <mergeCell ref="A48:B48"/>
    <mergeCell ref="AD5:AG5"/>
    <mergeCell ref="U5:X5"/>
    <mergeCell ref="Y5:AB5"/>
    <mergeCell ref="L5:O5"/>
    <mergeCell ref="P5:S5"/>
    <mergeCell ref="H15:I15"/>
    <mergeCell ref="H21:I21"/>
    <mergeCell ref="H22:I22"/>
    <mergeCell ref="H23:I23"/>
    <mergeCell ref="H24:I24"/>
    <mergeCell ref="H25:I25"/>
    <mergeCell ref="H17:I17"/>
    <mergeCell ref="H18:I18"/>
    <mergeCell ref="H19:I19"/>
    <mergeCell ref="H61:I61"/>
    <mergeCell ref="A117:B117"/>
    <mergeCell ref="H34:I34"/>
    <mergeCell ref="H26:I26"/>
    <mergeCell ref="H27:I27"/>
    <mergeCell ref="H28:I28"/>
    <mergeCell ref="H46:I46"/>
    <mergeCell ref="H47:I47"/>
    <mergeCell ref="H49:I49"/>
    <mergeCell ref="H50:I50"/>
    <mergeCell ref="H41:I41"/>
    <mergeCell ref="H42:I42"/>
    <mergeCell ref="H43:I43"/>
    <mergeCell ref="H45:I45"/>
    <mergeCell ref="H56:I56"/>
    <mergeCell ref="H58:I58"/>
    <mergeCell ref="H59:I59"/>
    <mergeCell ref="H60:I60"/>
    <mergeCell ref="H51:I51"/>
    <mergeCell ref="H53:I53"/>
    <mergeCell ref="H54:I54"/>
    <mergeCell ref="H55:I55"/>
    <mergeCell ref="H68:I68"/>
    <mergeCell ref="H69:I69"/>
    <mergeCell ref="H70:I70"/>
    <mergeCell ref="H71:I71"/>
    <mergeCell ref="H72:I72"/>
    <mergeCell ref="H73:I73"/>
    <mergeCell ref="H98:I98"/>
    <mergeCell ref="H100:I100"/>
    <mergeCell ref="H106:I106"/>
    <mergeCell ref="H101:I101"/>
    <mergeCell ref="H102:I102"/>
    <mergeCell ref="H104:I104"/>
    <mergeCell ref="H105:I105"/>
    <mergeCell ref="H117:I117"/>
    <mergeCell ref="H112:I112"/>
    <mergeCell ref="H126:I126"/>
    <mergeCell ref="H127:I127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41:I141"/>
    <mergeCell ref="H136:I136"/>
    <mergeCell ref="H137:I137"/>
    <mergeCell ref="H138:I138"/>
    <mergeCell ref="H139:I139"/>
    <mergeCell ref="H140:I140"/>
    <mergeCell ref="H131:I131"/>
    <mergeCell ref="H132:I132"/>
    <mergeCell ref="H133:I133"/>
    <mergeCell ref="H134:I134"/>
    <mergeCell ref="H135:I135"/>
  </mergeCells>
  <pageMargins left="0.7" right="0.7" top="0.75" bottom="0.75" header="0.3" footer="0.3"/>
  <pageSetup paperSize="9" scale="1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41"/>
  <sheetViews>
    <sheetView zoomScaleNormal="100" workbookViewId="0">
      <pane xSplit="6" ySplit="7" topLeftCell="I13" activePane="bottomRight" state="frozen"/>
      <selection pane="topRight" activeCell="G1" sqref="G1"/>
      <selection pane="bottomLeft" activeCell="A8" sqref="A8"/>
      <selection pane="bottomRight" activeCell="M17" sqref="M17"/>
    </sheetView>
  </sheetViews>
  <sheetFormatPr baseColWidth="10" defaultColWidth="11.42578125" defaultRowHeight="21" customHeight="1" x14ac:dyDescent="0.25"/>
  <cols>
    <col min="1" max="1" width="5" style="14" customWidth="1"/>
    <col min="2" max="2" width="36" style="14" customWidth="1"/>
    <col min="3" max="6" width="45.85546875" style="14" hidden="1" customWidth="1"/>
    <col min="7" max="7" width="14.85546875" style="14" customWidth="1"/>
    <col min="8" max="8" width="15" style="14" customWidth="1"/>
    <col min="9" max="9" width="16.140625" style="14" customWidth="1"/>
    <col min="10" max="10" width="14.5703125" style="14" customWidth="1"/>
    <col min="11" max="11" width="14.42578125" style="14" customWidth="1"/>
    <col min="12" max="12" width="16.85546875" style="14" customWidth="1"/>
    <col min="13" max="13" width="8.7109375" style="14" customWidth="1"/>
    <col min="14" max="14" width="20.140625" style="14" customWidth="1"/>
    <col min="15" max="15" width="21.7109375" style="59" bestFit="1" customWidth="1"/>
    <col min="16" max="16" width="24.42578125" style="14" customWidth="1"/>
    <col min="17" max="17" width="16.140625" style="14" customWidth="1"/>
    <col min="18" max="18" width="14.5703125" style="14" customWidth="1"/>
    <col min="19" max="19" width="16.5703125" style="14" customWidth="1"/>
    <col min="20" max="20" width="8.5703125" style="14" customWidth="1"/>
    <col min="21" max="21" width="17.140625" style="14" customWidth="1"/>
    <col min="22" max="22" width="14" style="14" customWidth="1"/>
    <col min="23" max="23" width="15.85546875" style="14" customWidth="1"/>
    <col min="24" max="24" width="13.85546875" style="14" customWidth="1"/>
    <col min="25" max="25" width="16.85546875" style="14" customWidth="1"/>
    <col min="26" max="26" width="15.7109375" style="14" customWidth="1"/>
    <col min="27" max="27" width="8.85546875" style="14" customWidth="1"/>
    <col min="28" max="28" width="14.42578125" style="14" customWidth="1"/>
    <col min="29" max="29" width="20.42578125" style="14" customWidth="1"/>
    <col min="30" max="30" width="14.28515625" style="14" customWidth="1"/>
    <col min="31" max="31" width="14.5703125" style="14" customWidth="1"/>
    <col min="32" max="32" width="14" style="14" customWidth="1"/>
    <col min="33" max="33" width="15.7109375" style="14" customWidth="1"/>
    <col min="34" max="34" width="8.42578125" style="14" customWidth="1"/>
    <col min="35" max="35" width="22.28515625" style="14" customWidth="1"/>
    <col min="36" max="36" width="15.28515625" style="14" customWidth="1"/>
    <col min="37" max="37" width="13.7109375" style="14" customWidth="1"/>
    <col min="38" max="38" width="15" style="14" customWidth="1"/>
    <col min="39" max="39" width="15.5703125" style="14" customWidth="1"/>
    <col min="40" max="40" width="17.7109375" style="14" customWidth="1"/>
    <col min="41" max="41" width="9.5703125" style="14" customWidth="1"/>
    <col min="42" max="42" width="18" style="14" customWidth="1"/>
    <col min="43" max="43" width="18.5703125" style="14" customWidth="1"/>
    <col min="44" max="44" width="14.42578125" style="14" customWidth="1"/>
    <col min="45" max="46" width="14" style="14" bestFit="1" customWidth="1"/>
    <col min="47" max="47" width="17.42578125" style="14" customWidth="1"/>
    <col min="48" max="48" width="9.7109375" style="14" customWidth="1"/>
    <col min="49" max="49" width="53.85546875" style="14" customWidth="1"/>
    <col min="50" max="16384" width="11.42578125" style="14"/>
  </cols>
  <sheetData>
    <row r="1" spans="1:49" ht="8.25" customHeight="1" x14ac:dyDescent="0.25">
      <c r="A1" s="192"/>
      <c r="B1" s="192"/>
      <c r="C1" s="1"/>
      <c r="D1" s="1"/>
      <c r="E1" s="1"/>
      <c r="F1" s="1"/>
      <c r="G1" s="1"/>
      <c r="H1" s="1"/>
      <c r="I1" s="1"/>
      <c r="J1" s="1"/>
      <c r="K1" s="1"/>
      <c r="O1" s="40"/>
    </row>
    <row r="2" spans="1:49" ht="8.25" customHeight="1" x14ac:dyDescent="0.25">
      <c r="A2" s="1"/>
      <c r="B2" s="19"/>
      <c r="C2" s="1"/>
      <c r="D2" s="1"/>
      <c r="E2" s="1"/>
      <c r="F2" s="1"/>
      <c r="G2" s="1"/>
      <c r="H2" s="1"/>
      <c r="I2" s="1"/>
      <c r="J2" s="1"/>
      <c r="K2" s="1"/>
      <c r="O2" s="40"/>
      <c r="V2" s="42"/>
      <c r="X2" s="42"/>
      <c r="AB2" s="38"/>
      <c r="AC2" s="42"/>
      <c r="AG2" s="42"/>
    </row>
    <row r="3" spans="1:49" ht="14.25" customHeight="1" thickBot="1" x14ac:dyDescent="0.3">
      <c r="A3" s="1"/>
      <c r="B3" s="19"/>
      <c r="C3" s="1"/>
      <c r="D3" s="1"/>
      <c r="E3" s="1"/>
      <c r="F3" s="1"/>
      <c r="G3" s="1"/>
      <c r="H3" s="1"/>
      <c r="I3" s="1"/>
      <c r="J3" s="1"/>
      <c r="K3" s="1"/>
      <c r="O3" s="40"/>
      <c r="X3" s="42"/>
    </row>
    <row r="4" spans="1:49" ht="8.25" customHeight="1" x14ac:dyDescent="0.25">
      <c r="A4" s="1"/>
      <c r="B4" s="41"/>
      <c r="C4" s="1"/>
      <c r="D4" s="1"/>
      <c r="E4" s="1"/>
      <c r="F4" s="1"/>
      <c r="G4" s="193">
        <v>2022</v>
      </c>
      <c r="H4" s="194"/>
      <c r="I4" s="194"/>
      <c r="J4" s="194"/>
      <c r="K4" s="194"/>
      <c r="L4" s="194"/>
      <c r="M4" s="194"/>
      <c r="N4" s="193">
        <v>2023</v>
      </c>
      <c r="O4" s="194"/>
      <c r="P4" s="194"/>
      <c r="Q4" s="194"/>
      <c r="R4" s="194"/>
      <c r="S4" s="194"/>
      <c r="T4" s="194"/>
      <c r="U4" s="193">
        <v>2024</v>
      </c>
      <c r="V4" s="194"/>
      <c r="W4" s="194"/>
      <c r="X4" s="194"/>
      <c r="Y4" s="194"/>
      <c r="Z4" s="194"/>
      <c r="AA4" s="194"/>
      <c r="AB4" s="193">
        <v>2025</v>
      </c>
      <c r="AC4" s="194"/>
      <c r="AD4" s="194"/>
      <c r="AE4" s="194"/>
      <c r="AF4" s="194"/>
      <c r="AG4" s="194"/>
      <c r="AH4" s="194"/>
      <c r="AI4" s="193">
        <v>2026</v>
      </c>
      <c r="AJ4" s="194"/>
      <c r="AK4" s="194"/>
      <c r="AL4" s="194"/>
      <c r="AM4" s="194"/>
      <c r="AN4" s="194"/>
      <c r="AO4" s="194"/>
      <c r="AP4" s="193">
        <v>2027</v>
      </c>
      <c r="AQ4" s="194"/>
      <c r="AR4" s="194"/>
      <c r="AS4" s="194"/>
      <c r="AT4" s="194"/>
      <c r="AU4" s="194"/>
      <c r="AV4" s="194"/>
      <c r="AW4" s="200"/>
    </row>
    <row r="5" spans="1:49" ht="8.25" customHeight="1" thickBot="1" x14ac:dyDescent="0.3">
      <c r="A5" s="1"/>
      <c r="B5" s="1"/>
      <c r="C5" s="1"/>
      <c r="D5" s="1"/>
      <c r="E5" s="1"/>
      <c r="F5" s="1"/>
      <c r="G5" s="195"/>
      <c r="H5" s="196"/>
      <c r="I5" s="196"/>
      <c r="J5" s="196"/>
      <c r="K5" s="196"/>
      <c r="L5" s="196"/>
      <c r="M5" s="196"/>
      <c r="N5" s="195"/>
      <c r="O5" s="196"/>
      <c r="P5" s="196"/>
      <c r="Q5" s="196"/>
      <c r="R5" s="196"/>
      <c r="S5" s="196"/>
      <c r="T5" s="196"/>
      <c r="U5" s="195"/>
      <c r="V5" s="196"/>
      <c r="W5" s="196"/>
      <c r="X5" s="196"/>
      <c r="Y5" s="196"/>
      <c r="Z5" s="196"/>
      <c r="AA5" s="196"/>
      <c r="AB5" s="195"/>
      <c r="AC5" s="196"/>
      <c r="AD5" s="196"/>
      <c r="AE5" s="196"/>
      <c r="AF5" s="196"/>
      <c r="AG5" s="196"/>
      <c r="AH5" s="196"/>
      <c r="AI5" s="195"/>
      <c r="AJ5" s="196"/>
      <c r="AK5" s="196"/>
      <c r="AL5" s="196"/>
      <c r="AM5" s="196"/>
      <c r="AN5" s="196"/>
      <c r="AO5" s="196"/>
      <c r="AP5" s="195"/>
      <c r="AQ5" s="196"/>
      <c r="AR5" s="196"/>
      <c r="AS5" s="196"/>
      <c r="AT5" s="196"/>
      <c r="AU5" s="196"/>
      <c r="AV5" s="196"/>
      <c r="AW5" s="201"/>
    </row>
    <row r="6" spans="1:49" ht="20.25" customHeight="1" x14ac:dyDescent="0.25">
      <c r="A6" s="198" t="s">
        <v>196</v>
      </c>
      <c r="B6" s="198" t="s">
        <v>197</v>
      </c>
      <c r="C6" s="1"/>
      <c r="D6" s="1"/>
      <c r="E6" s="1"/>
      <c r="F6" s="1"/>
      <c r="G6" s="202" t="s">
        <v>0</v>
      </c>
      <c r="H6" s="203"/>
      <c r="I6" s="203"/>
      <c r="J6" s="202" t="s">
        <v>1</v>
      </c>
      <c r="K6" s="204"/>
      <c r="L6" s="205" t="s">
        <v>198</v>
      </c>
      <c r="M6" s="205" t="s">
        <v>199</v>
      </c>
      <c r="N6" s="206" t="s">
        <v>0</v>
      </c>
      <c r="O6" s="207"/>
      <c r="P6" s="207"/>
      <c r="Q6" s="206" t="s">
        <v>1</v>
      </c>
      <c r="R6" s="208"/>
      <c r="S6" s="198" t="s">
        <v>198</v>
      </c>
      <c r="T6" s="198" t="s">
        <v>199</v>
      </c>
      <c r="U6" s="206" t="s">
        <v>0</v>
      </c>
      <c r="V6" s="207"/>
      <c r="W6" s="207"/>
      <c r="X6" s="206" t="s">
        <v>1</v>
      </c>
      <c r="Y6" s="208"/>
      <c r="Z6" s="198" t="s">
        <v>198</v>
      </c>
      <c r="AA6" s="198" t="s">
        <v>199</v>
      </c>
      <c r="AB6" s="206" t="s">
        <v>0</v>
      </c>
      <c r="AC6" s="207"/>
      <c r="AD6" s="207"/>
      <c r="AE6" s="206" t="s">
        <v>1</v>
      </c>
      <c r="AF6" s="208"/>
      <c r="AG6" s="198" t="s">
        <v>198</v>
      </c>
      <c r="AH6" s="198" t="s">
        <v>199</v>
      </c>
      <c r="AI6" s="206" t="s">
        <v>0</v>
      </c>
      <c r="AJ6" s="207"/>
      <c r="AK6" s="207"/>
      <c r="AL6" s="206" t="s">
        <v>1</v>
      </c>
      <c r="AM6" s="208"/>
      <c r="AN6" s="198" t="s">
        <v>198</v>
      </c>
      <c r="AO6" s="198" t="s">
        <v>199</v>
      </c>
      <c r="AP6" s="206" t="s">
        <v>0</v>
      </c>
      <c r="AQ6" s="207"/>
      <c r="AR6" s="207"/>
      <c r="AS6" s="206" t="s">
        <v>1</v>
      </c>
      <c r="AT6" s="208"/>
      <c r="AU6" s="198" t="s">
        <v>198</v>
      </c>
      <c r="AV6" s="198" t="s">
        <v>199</v>
      </c>
      <c r="AW6" s="205" t="s">
        <v>200</v>
      </c>
    </row>
    <row r="7" spans="1:49" s="45" customFormat="1" ht="43.9" customHeight="1" x14ac:dyDescent="0.25">
      <c r="A7" s="199"/>
      <c r="B7" s="199"/>
      <c r="C7" s="43"/>
      <c r="D7" s="2"/>
      <c r="E7" s="2"/>
      <c r="F7" s="2"/>
      <c r="G7" s="44" t="s">
        <v>201</v>
      </c>
      <c r="H7" s="44" t="s">
        <v>202</v>
      </c>
      <c r="I7" s="44" t="s">
        <v>203</v>
      </c>
      <c r="J7" s="44" t="s">
        <v>204</v>
      </c>
      <c r="K7" s="44" t="s">
        <v>205</v>
      </c>
      <c r="L7" s="199"/>
      <c r="M7" s="199"/>
      <c r="N7" s="44" t="s">
        <v>201</v>
      </c>
      <c r="O7" s="44" t="s">
        <v>202</v>
      </c>
      <c r="P7" s="44" t="s">
        <v>203</v>
      </c>
      <c r="Q7" s="44" t="s">
        <v>204</v>
      </c>
      <c r="R7" s="44" t="s">
        <v>205</v>
      </c>
      <c r="S7" s="199"/>
      <c r="T7" s="199"/>
      <c r="U7" s="44" t="s">
        <v>201</v>
      </c>
      <c r="V7" s="44" t="s">
        <v>206</v>
      </c>
      <c r="W7" s="44" t="s">
        <v>203</v>
      </c>
      <c r="X7" s="44" t="s">
        <v>204</v>
      </c>
      <c r="Y7" s="44" t="s">
        <v>205</v>
      </c>
      <c r="Z7" s="199"/>
      <c r="AA7" s="199"/>
      <c r="AB7" s="44" t="s">
        <v>201</v>
      </c>
      <c r="AC7" s="44" t="s">
        <v>202</v>
      </c>
      <c r="AD7" s="44" t="s">
        <v>203</v>
      </c>
      <c r="AE7" s="44" t="s">
        <v>204</v>
      </c>
      <c r="AF7" s="44" t="s">
        <v>205</v>
      </c>
      <c r="AG7" s="199"/>
      <c r="AH7" s="199"/>
      <c r="AI7" s="44" t="s">
        <v>201</v>
      </c>
      <c r="AJ7" s="44" t="s">
        <v>202</v>
      </c>
      <c r="AK7" s="44" t="s">
        <v>203</v>
      </c>
      <c r="AL7" s="44" t="s">
        <v>204</v>
      </c>
      <c r="AM7" s="44" t="s">
        <v>205</v>
      </c>
      <c r="AN7" s="199"/>
      <c r="AO7" s="199"/>
      <c r="AP7" s="44" t="s">
        <v>201</v>
      </c>
      <c r="AQ7" s="44" t="s">
        <v>202</v>
      </c>
      <c r="AR7" s="44" t="s">
        <v>203</v>
      </c>
      <c r="AS7" s="44" t="s">
        <v>204</v>
      </c>
      <c r="AT7" s="44" t="s">
        <v>205</v>
      </c>
      <c r="AU7" s="199"/>
      <c r="AV7" s="199"/>
      <c r="AW7" s="199"/>
    </row>
    <row r="8" spans="1:49" ht="81" customHeight="1" x14ac:dyDescent="0.25">
      <c r="A8" s="46" t="s">
        <v>207</v>
      </c>
      <c r="B8" s="67" t="s">
        <v>208</v>
      </c>
      <c r="C8" s="6"/>
      <c r="D8" s="6"/>
      <c r="E8" s="6"/>
      <c r="F8" s="6"/>
      <c r="G8" s="48">
        <f>'[1]Classification fonct-économique'!$Z$4</f>
        <v>86302825.573000014</v>
      </c>
      <c r="H8" s="48">
        <f>'[1]Classification fonct-économique'!$AA$4</f>
        <v>72680266.527999997</v>
      </c>
      <c r="I8" s="38">
        <f>'[1]Classification fonct-économique'!$AB$4</f>
        <v>30126668.236899998</v>
      </c>
      <c r="J8" s="48">
        <f>'[1]Classification fonct-économique'!$AC$4</f>
        <v>25994533.111999996</v>
      </c>
      <c r="K8" s="48">
        <f>'[1]Classification fonct-économique'!$AD$4</f>
        <v>14541245.19977906</v>
      </c>
      <c r="L8" s="34">
        <v>413895080</v>
      </c>
      <c r="M8" s="47">
        <f t="shared" ref="M8:M17" si="0">L8/$Z$19</f>
        <v>0.16220366030489478</v>
      </c>
      <c r="N8" s="48">
        <f>'Classif Prog-Admin-Eco'!L7+'Classif Prog-Admin-Eco'!L16+'Classif Prog-Admin-Eco'!L40+'Classif Prog-Admin-Eco'!L44+'Classif Prog-Admin-Eco'!L126+'Classif Prog-Admin-Eco'!L127+'Classif Prog-Admin-Eco'!L128+'Classif Prog-Admin-Eco'!L129+'Classif Prog-Admin-Eco'!L130+'Classif Prog-Admin-Eco'!L131+'Classif Prog-Admin-Eco'!L132+'Classif Prog-Admin-Eco'!L133+'Classif Prog-Admin-Eco'!L134+'Classif Prog-Admin-Eco'!L135+'Classif Prog-Admin-Eco'!L136+'Classif Prog-Admin-Eco'!L138</f>
        <v>72991013.270999998</v>
      </c>
      <c r="O8" s="48">
        <f>'Classif Prog-Admin-Eco'!M7+'Classif Prog-Admin-Eco'!M16+'Classif Prog-Admin-Eco'!M40+'Classif Prog-Admin-Eco'!M44+'Classif Prog-Admin-Eco'!M126+'Classif Prog-Admin-Eco'!M127+'Classif Prog-Admin-Eco'!M128+'Classif Prog-Admin-Eco'!M129+'Classif Prog-Admin-Eco'!M130+'Classif Prog-Admin-Eco'!M131+'Classif Prog-Admin-Eco'!M132+'Classif Prog-Admin-Eco'!M133+'Classif Prog-Admin-Eco'!M134+'Classif Prog-Admin-Eco'!M135+'Classif Prog-Admin-Eco'!M136+'Classif Prog-Admin-Eco'!M137+'Classif Prog-Admin-Eco'!M138</f>
        <v>42778869.313999996</v>
      </c>
      <c r="P8" s="48">
        <f>'[3]Regroupement par fonction'!$AB$4</f>
        <v>350438936.625</v>
      </c>
      <c r="Q8" s="48">
        <f>'[3]Regroupement par fonction'!$AC$4</f>
        <v>28878269.686999999</v>
      </c>
      <c r="R8" s="48">
        <f>'[3]Regroupement par fonction'!$AD$4</f>
        <v>12684374.773</v>
      </c>
      <c r="S8" s="34">
        <f>N8+O8+P8+Q8+R8+'Classif Prog-Admin-Eco'!L138</f>
        <v>540783923.45099998</v>
      </c>
      <c r="T8" s="49">
        <f>S8/$AG$19</f>
        <v>0.19463027729972587</v>
      </c>
      <c r="U8" s="48">
        <v>114011028</v>
      </c>
      <c r="V8" s="48">
        <v>49891199</v>
      </c>
      <c r="W8" s="48">
        <v>318030344</v>
      </c>
      <c r="X8" s="48">
        <v>26100829</v>
      </c>
      <c r="Y8" s="48">
        <v>11393353</v>
      </c>
      <c r="Z8" s="34">
        <f>U8+V8+W8+X8+Y8+'Classif Prog-Admin-Eco'!X139</f>
        <v>520023332</v>
      </c>
      <c r="AA8" s="49">
        <f>Z8/$AG$19</f>
        <v>0.18715845815756424</v>
      </c>
      <c r="AB8" s="48">
        <f>'Classif Prog-Admin-Eco'!AD7+'Classif Prog-Admin-Eco'!AD16+'Classif Prog-Admin-Eco'!AD40+'Classif Prog-Admin-Eco'!AD44+'Classif Prog-Admin-Eco'!AD126+'Classif Prog-Admin-Eco'!AD127+'Classif Prog-Admin-Eco'!AD128+'Classif Prog-Admin-Eco'!AD129+'Classif Prog-Admin-Eco'!AD130+'Classif Prog-Admin-Eco'!AD131+'Classif Prog-Admin-Eco'!AD132+'Classif Prog-Admin-Eco'!AD133+'Classif Prog-Admin-Eco'!AD134+'Classif Prog-Admin-Eco'!AD135+'Classif Prog-Admin-Eco'!AD136+'Classif Prog-Admin-Eco'!AD138</f>
        <v>121579086</v>
      </c>
      <c r="AC8" s="48">
        <f>'Classif Prog-Admin-Eco'!AE7+'Classif Prog-Admin-Eco'!AE16+'Classif Prog-Admin-Eco'!AE40+'Classif Prog-Admin-Eco'!AE44+'Classif Prog-Admin-Eco'!AE126+'Classif Prog-Admin-Eco'!AE127+'Classif Prog-Admin-Eco'!AE128+'Classif Prog-Admin-Eco'!AE129+'Classif Prog-Admin-Eco'!AE130+'Classif Prog-Admin-Eco'!AE131+'Classif Prog-Admin-Eco'!AE132+'Classif Prog-Admin-Eco'!AE133+'Classif Prog-Admin-Eco'!AE134+'Classif Prog-Admin-Eco'!AE135+'Classif Prog-Admin-Eco'!AE136+'Classif Prog-Admin-Eco'!AE138</f>
        <v>56799811</v>
      </c>
      <c r="AD8" s="48">
        <f>'Classif Prog-Admin-Eco'!AF7+'Classif Prog-Admin-Eco'!AF16+'Classif Prog-Admin-Eco'!AF40+'Classif Prog-Admin-Eco'!AF44+'Classif Prog-Admin-Eco'!AF126+'Classif Prog-Admin-Eco'!AF127+'Classif Prog-Admin-Eco'!AF128+'Classif Prog-Admin-Eco'!AF129+'Classif Prog-Admin-Eco'!AF130+'Classif Prog-Admin-Eco'!AF131+'Classif Prog-Admin-Eco'!AF132+'Classif Prog-Admin-Eco'!AF133+'Classif Prog-Admin-Eco'!AF134+'Classif Prog-Admin-Eco'!AF135+'Classif Prog-Admin-Eco'!AF136+'Classif Prog-Admin-Eco'!AF137+'Classif Prog-Admin-Eco'!AF138</f>
        <v>358801607</v>
      </c>
      <c r="AE8" s="48">
        <f>'Classif Prog-Admin-Eco'!AH7+'Classif Prog-Admin-Eco'!AH16+'Classif Prog-Admin-Eco'!AH40+'Classif Prog-Admin-Eco'!AH44+'Classif Prog-Admin-Eco'!AH126+'Classif Prog-Admin-Eco'!AH136</f>
        <v>26627232</v>
      </c>
      <c r="AF8" s="48">
        <f>'Classif Prog-Admin-Eco'!AI40+'Classif Prog-Admin-Eco'!AI125+'Classif Prog-Admin-Eco'!AJ125</f>
        <v>22667587</v>
      </c>
      <c r="AG8" s="34">
        <f>AB8+AC8+AD8+AE8+AF8+'Classif Prog-Admin-Eco'!AG139</f>
        <v>587120523</v>
      </c>
      <c r="AH8" s="49">
        <f t="shared" ref="AH8:AH17" si="1">AG8/$AN$19</f>
        <v>0.19423711350779105</v>
      </c>
      <c r="AI8" s="48">
        <f>'Classif Prog-Admin-Eco'!AM7+'Classif Prog-Admin-Eco'!AM16+'Classif Prog-Admin-Eco'!AM40+'Classif Prog-Admin-Eco'!AM44+'Classif Prog-Admin-Eco'!AM125</f>
        <v>130202754</v>
      </c>
      <c r="AJ8" s="48">
        <f>'Classif Prog-Admin-Eco'!AN7+'Classif Prog-Admin-Eco'!AN16+'Classif Prog-Admin-Eco'!AN40+'Classif Prog-Admin-Eco'!AN44+'Classif Prog-Admin-Eco'!AN125</f>
        <v>62217492</v>
      </c>
      <c r="AK8" s="48">
        <f>'Classif Prog-Admin-Eco'!AO7+'Classif Prog-Admin-Eco'!AO16+'Classif Prog-Admin-Eco'!AO40+'Classif Prog-Admin-Eco'!AO44+'Classif Prog-Admin-Eco'!AO125</f>
        <v>371816070</v>
      </c>
      <c r="AL8" s="48">
        <f>'Classif Prog-Admin-Eco'!AQ7+'Classif Prog-Admin-Eco'!AQ16+'Classif Prog-Admin-Eco'!AQ40+'Classif Prog-Admin-Eco'!AQ44+'Classif Prog-Admin-Eco'!AQ126+'Classif Prog-Admin-Eco'!AQ136</f>
        <v>37389829</v>
      </c>
      <c r="AM8" s="48">
        <f>'Classif Prog-Admin-Eco'!AR125+'Classif Prog-Admin-Eco'!AS125</f>
        <v>10862032</v>
      </c>
      <c r="AN8" s="34">
        <f>AI8+AJ8+AK8+AL8+AM8+'Classif Prog-Admin-Eco'!AU139</f>
        <v>613133377</v>
      </c>
      <c r="AO8" s="49">
        <f t="shared" ref="AO8:AO17" si="2">AN8/$AU$19</f>
        <v>0.18468429079189133</v>
      </c>
      <c r="AP8" s="48">
        <f>'Classif Prog-Admin-Eco'!AV7+'Classif Prog-Admin-Eco'!AV16+'Classif Prog-Admin-Eco'!AV40+'Classif Prog-Admin-Eco'!AV44+'Classif Prog-Admin-Eco'!AV125</f>
        <v>140298453</v>
      </c>
      <c r="AQ8" s="48">
        <f>'Classif Prog-Admin-Eco'!AW7+'Classif Prog-Admin-Eco'!AW16+'Classif Prog-Admin-Eco'!AW40+'Classif Prog-Admin-Eco'!AW44+'Classif Prog-Admin-Eco'!AW125</f>
        <v>74747092</v>
      </c>
      <c r="AR8" s="48">
        <f>'Classif Prog-Admin-Eco'!AX7+'Classif Prog-Admin-Eco'!AX16+'Classif Prog-Admin-Eco'!AX40+'Classif Prog-Admin-Eco'!AX44+'Classif Prog-Admin-Eco'!AX125</f>
        <v>414428470</v>
      </c>
      <c r="AS8" s="48">
        <f>'Classif Prog-Admin-Eco'!AZ7+'Classif Prog-Admin-Eco'!AZ16+'Classif Prog-Admin-Eco'!AZ40+'Classif Prog-Admin-Eco'!AZ44+'Classif Prog-Admin-Eco'!AZ125</f>
        <v>44022311</v>
      </c>
      <c r="AT8" s="48">
        <f>'Classif Prog-Admin-Eco'!BA125+'Classif Prog-Admin-Eco'!BB125</f>
        <v>5534032</v>
      </c>
      <c r="AU8" s="34">
        <f>SUM(AP8:AT8)+'Classif Prog-Admin-Eco'!BD139</f>
        <v>679675558</v>
      </c>
      <c r="AV8" s="49">
        <f t="shared" ref="AV8:AV17" si="3">AU8/$AU$19</f>
        <v>0.20472772011205156</v>
      </c>
      <c r="AW8" s="128" t="s">
        <v>274</v>
      </c>
    </row>
    <row r="9" spans="1:49" ht="41.25" customHeight="1" x14ac:dyDescent="0.25">
      <c r="A9" s="46" t="s">
        <v>209</v>
      </c>
      <c r="B9" s="67" t="s">
        <v>210</v>
      </c>
      <c r="C9" s="6"/>
      <c r="D9" s="6"/>
      <c r="E9" s="6"/>
      <c r="F9" s="6"/>
      <c r="G9" s="48">
        <f>'[1]Classification fonct-économique'!$Z$12</f>
        <v>37503895.831</v>
      </c>
      <c r="H9" s="48">
        <f>'[1]Classification fonct-économique'!$AA$12</f>
        <v>9804652.3909999989</v>
      </c>
      <c r="I9" s="48">
        <f>'[1]Classification fonct-économique'!$AB$12</f>
        <v>48699.124100000001</v>
      </c>
      <c r="J9" s="48">
        <f>'[1]Classification fonct-économique'!$AC$12</f>
        <v>54775908.106000006</v>
      </c>
      <c r="K9" s="51">
        <f>'[1]Classification fonct-économique'!$AD$12</f>
        <v>0</v>
      </c>
      <c r="L9" s="34">
        <f t="shared" ref="L9:L17" si="4">G9+H9+I9+J9+K9</f>
        <v>102133155.45210001</v>
      </c>
      <c r="M9" s="47">
        <f t="shared" si="0"/>
        <v>4.0025534134929659E-2</v>
      </c>
      <c r="N9" s="48">
        <f>'[3]Regroupement par fonction'!$Z$5</f>
        <v>50492408.802999996</v>
      </c>
      <c r="O9" s="48">
        <f>'[3]Regroupement par fonction'!$AA$5</f>
        <v>18817275.028000001</v>
      </c>
      <c r="P9" s="48">
        <f>'[3]Regroupement par fonction'!$AB$5</f>
        <v>456000</v>
      </c>
      <c r="Q9" s="48">
        <f>'[3]Regroupement par fonction'!$AC$5</f>
        <v>16264237.550000001</v>
      </c>
      <c r="R9" s="51">
        <f>'[3]Regroupement par fonction'!$AD$5</f>
        <v>0</v>
      </c>
      <c r="S9" s="34">
        <f>N9+O9+P9+Q9+R9+'Classif Prog-Admin-Eco'!T102</f>
        <v>90413011.380999997</v>
      </c>
      <c r="T9" s="49">
        <f t="shared" ref="T9:T17" si="5">S9/$AG$19</f>
        <v>3.2540001123353958E-2</v>
      </c>
      <c r="U9" s="48">
        <v>53529725</v>
      </c>
      <c r="V9" s="48">
        <v>20932385</v>
      </c>
      <c r="W9" s="48">
        <v>750000</v>
      </c>
      <c r="X9" s="48">
        <v>18239984</v>
      </c>
      <c r="Y9" s="48">
        <v>8000000</v>
      </c>
      <c r="Z9" s="34">
        <f>U9+V9+W9+X9+Y9</f>
        <v>101452094</v>
      </c>
      <c r="AA9" s="49">
        <f t="shared" ref="AA9:AA15" si="6">Z9/$AG$19</f>
        <v>3.6513010708327749E-2</v>
      </c>
      <c r="AB9" s="48">
        <f>'Classif Prog-Admin-Eco'!AD99</f>
        <v>60711122</v>
      </c>
      <c r="AC9" s="48">
        <f>'Classif Prog-Admin-Eco'!AE99</f>
        <v>42369185</v>
      </c>
      <c r="AD9" s="48">
        <f>'Classif Prog-Admin-Eco'!AF99</f>
        <v>1313200</v>
      </c>
      <c r="AE9" s="48">
        <f>'Classif Prog-Admin-Eco'!AH99</f>
        <v>21737228</v>
      </c>
      <c r="AF9" s="48">
        <f>'Classif Prog-Admin-Eco'!AJ99</f>
        <v>0</v>
      </c>
      <c r="AG9" s="34">
        <f>AB9+AC9+AD9+AE9+AF9</f>
        <v>126130735</v>
      </c>
      <c r="AH9" s="49">
        <f t="shared" si="1"/>
        <v>4.1727837694776192E-2</v>
      </c>
      <c r="AI9" s="48">
        <f>'Classif Prog-Admin-Eco'!AM99</f>
        <v>65206248</v>
      </c>
      <c r="AJ9" s="48">
        <f>'Classif Prog-Admin-Eco'!AN99</f>
        <v>42369185</v>
      </c>
      <c r="AK9" s="48">
        <f>'Classif Prog-Admin-Eco'!AO99</f>
        <v>1313200</v>
      </c>
      <c r="AL9" s="48">
        <f>'Classif Prog-Admin-Eco'!AQ99</f>
        <v>21522373</v>
      </c>
      <c r="AM9" s="48">
        <f>'Classif Prog-Admin-Eco'!AS99</f>
        <v>0</v>
      </c>
      <c r="AN9" s="34">
        <f>AI9+AJ9+AK9+AL9+AM9</f>
        <v>130411006</v>
      </c>
      <c r="AO9" s="49">
        <f t="shared" si="2"/>
        <v>3.9281606674899848E-2</v>
      </c>
      <c r="AP9" s="48">
        <f>'Classif Prog-Admin-Eco'!AV99</f>
        <v>69443272</v>
      </c>
      <c r="AQ9" s="48">
        <f>'Classif Prog-Admin-Eco'!AW99</f>
        <v>42369184</v>
      </c>
      <c r="AR9" s="48">
        <f>'Classif Prog-Admin-Eco'!AX99</f>
        <v>1313200</v>
      </c>
      <c r="AS9" s="48">
        <f>'Classif Prog-Admin-Eco'!AZ99</f>
        <v>24013737</v>
      </c>
      <c r="AT9" s="48">
        <f>'Classif Prog-Admin-Eco'!BB99</f>
        <v>0</v>
      </c>
      <c r="AU9" s="34">
        <f>AP9+AQ9+AR9+AS9+AT9</f>
        <v>137139393</v>
      </c>
      <c r="AV9" s="49">
        <f t="shared" si="3"/>
        <v>4.1308290309949092E-2</v>
      </c>
      <c r="AW9" s="52" t="s">
        <v>211</v>
      </c>
    </row>
    <row r="10" spans="1:49" ht="54" customHeight="1" x14ac:dyDescent="0.25">
      <c r="A10" s="46" t="s">
        <v>212</v>
      </c>
      <c r="B10" s="67" t="s">
        <v>213</v>
      </c>
      <c r="C10" s="6"/>
      <c r="D10" s="6"/>
      <c r="E10" s="6"/>
      <c r="F10" s="6"/>
      <c r="G10" s="48">
        <f>'[1]Classification fonct-économique'!$Z$10</f>
        <v>43725969.566</v>
      </c>
      <c r="H10" s="48">
        <f>'[1]Classification fonct-économique'!$AA$10</f>
        <v>11336852.166000001</v>
      </c>
      <c r="I10" s="48">
        <f>'[1]Classification fonct-économique'!$AB$10</f>
        <v>1153385.7566999998</v>
      </c>
      <c r="J10" s="48">
        <f>'[1]Classification fonct-économique'!$AC$10</f>
        <v>7145248.1960000005</v>
      </c>
      <c r="K10" s="48">
        <f>'[1]Classification fonct-économique'!$AD$10</f>
        <v>0</v>
      </c>
      <c r="L10" s="34">
        <f t="shared" si="4"/>
        <v>63361455.684700005</v>
      </c>
      <c r="M10" s="47">
        <f t="shared" si="0"/>
        <v>2.4831075629854607E-2</v>
      </c>
      <c r="N10" s="48">
        <f>'Classif Prog-Admin-Eco'!L10+'Classif Prog-Admin-Eco'!L29</f>
        <v>55488370.937000006</v>
      </c>
      <c r="O10" s="48">
        <f>'[3]Regroupement par fonction'!$AA$6</f>
        <v>9503559.7980000004</v>
      </c>
      <c r="P10" s="48">
        <f>'[3]Regroupement par fonction'!$AB$6</f>
        <v>11712790.070999999</v>
      </c>
      <c r="Q10" s="48">
        <f>'[3]Regroupement par fonction'!$AC$6</f>
        <v>11176115.726</v>
      </c>
      <c r="R10" s="48">
        <v>0</v>
      </c>
      <c r="S10" s="34">
        <f>N10+O10+P10+Q10+R10</f>
        <v>87880836.532000005</v>
      </c>
      <c r="T10" s="49">
        <f t="shared" si="5"/>
        <v>3.162866135961389E-2</v>
      </c>
      <c r="U10" s="48">
        <v>65910849</v>
      </c>
      <c r="V10" s="48">
        <v>13347204</v>
      </c>
      <c r="W10" s="48">
        <v>10887981</v>
      </c>
      <c r="X10" s="48">
        <v>23330000</v>
      </c>
      <c r="Y10" s="48">
        <f>'Classif Prog-Admin-Eco'!AI10+'Classif Prog-Admin-Eco'!AI29</f>
        <v>0</v>
      </c>
      <c r="Z10" s="34">
        <f>U10+V10+W10+X10+Y10</f>
        <v>113476034</v>
      </c>
      <c r="AA10" s="49">
        <f t="shared" si="6"/>
        <v>4.0840474367937279E-2</v>
      </c>
      <c r="AB10" s="48">
        <f>'Classif Prog-Admin-Eco'!AD10+'Classif Prog-Admin-Eco'!AD29</f>
        <v>68542405</v>
      </c>
      <c r="AC10" s="48">
        <f>'Classif Prog-Admin-Eco'!AE10+'Classif Prog-Admin-Eco'!AE29</f>
        <v>12483095</v>
      </c>
      <c r="AD10" s="48">
        <f>'Classif Prog-Admin-Eco'!AF10+'Classif Prog-Admin-Eco'!AF29</f>
        <v>12652090</v>
      </c>
      <c r="AE10" s="48">
        <f>'Classif Prog-Admin-Eco'!AH10+'Classif Prog-Admin-Eco'!AH29</f>
        <v>19820000</v>
      </c>
      <c r="AF10" s="48">
        <f>'Classif Prog-Admin-Eco'!AI10+'Classif Prog-Admin-Eco'!AI29</f>
        <v>0</v>
      </c>
      <c r="AG10" s="34">
        <f>AB10+AC10+AD10+AE10+AF10</f>
        <v>113497590</v>
      </c>
      <c r="AH10" s="49">
        <f t="shared" si="1"/>
        <v>3.7548413669897772E-2</v>
      </c>
      <c r="AI10" s="48">
        <f>'Classif Prog-Admin-Eco'!AM10+'Classif Prog-Admin-Eco'!AM29</f>
        <v>76491380</v>
      </c>
      <c r="AJ10" s="48">
        <f>'Classif Prog-Admin-Eco'!AN10+'Classif Prog-Admin-Eco'!AN29</f>
        <v>12483095</v>
      </c>
      <c r="AK10" s="48">
        <f>'Classif Prog-Admin-Eco'!AO10+'Classif Prog-Admin-Eco'!AO29</f>
        <v>12652090</v>
      </c>
      <c r="AL10" s="48">
        <f>'Classif Prog-Admin-Eco'!AQ10+'Classif Prog-Admin-Eco'!AQ29</f>
        <v>25550000</v>
      </c>
      <c r="AM10" s="48">
        <f>'Classif Prog-Admin-Eco'!AR29</f>
        <v>0</v>
      </c>
      <c r="AN10" s="34">
        <f>AI10+AJ10+AK10+AL10+AM10</f>
        <v>127176565</v>
      </c>
      <c r="AO10" s="49">
        <f t="shared" si="2"/>
        <v>3.8307348112894969E-2</v>
      </c>
      <c r="AP10" s="48">
        <f>'Classif Prog-Admin-Eco'!AV10+'Classif Prog-Admin-Eco'!AV29</f>
        <v>82542771</v>
      </c>
      <c r="AQ10" s="48">
        <f>'Classif Prog-Admin-Eco'!AW10+'Classif Prog-Admin-Eco'!AW29</f>
        <v>12483095</v>
      </c>
      <c r="AR10" s="48">
        <f>'Classif Prog-Admin-Eco'!AX10+'Classif Prog-Admin-Eco'!AX29</f>
        <v>12652090</v>
      </c>
      <c r="AS10" s="48">
        <f>'Classif Prog-Admin-Eco'!AZ10+'Classif Prog-Admin-Eco'!AZ29</f>
        <v>19687000</v>
      </c>
      <c r="AT10" s="48">
        <f>'Classif Prog-Admin-Eco'!BB10</f>
        <v>0</v>
      </c>
      <c r="AU10" s="34">
        <f t="shared" ref="AU10:AU17" si="7">AP10+AQ10+AR10+AS10+AT10</f>
        <v>127364956</v>
      </c>
      <c r="AV10" s="49">
        <f t="shared" si="3"/>
        <v>3.8364094099219856E-2</v>
      </c>
      <c r="AW10" s="52" t="s">
        <v>238</v>
      </c>
    </row>
    <row r="11" spans="1:49" ht="62.25" customHeight="1" x14ac:dyDescent="0.25">
      <c r="A11" s="46" t="s">
        <v>214</v>
      </c>
      <c r="B11" s="67" t="s">
        <v>215</v>
      </c>
      <c r="C11" s="53"/>
      <c r="D11" s="53"/>
      <c r="E11" s="53"/>
      <c r="F11" s="53"/>
      <c r="G11" s="48">
        <f>'[1]Classification fonct-économique'!$Z$5</f>
        <v>24565703.897999998</v>
      </c>
      <c r="H11" s="48">
        <f>'[1]Classification fonct-économique'!$AA$5</f>
        <v>14624640.705</v>
      </c>
      <c r="I11" s="48">
        <f>'[1]Classification fonct-économique'!$AB$5</f>
        <v>3064110.1197000002</v>
      </c>
      <c r="J11" s="48">
        <v>204172939</v>
      </c>
      <c r="K11" s="48">
        <f>'[1]Classification fonct-économique'!$AD$5</f>
        <v>130806966.59835728</v>
      </c>
      <c r="L11" s="34">
        <f t="shared" si="4"/>
        <v>377234360.32105726</v>
      </c>
      <c r="M11" s="47">
        <f t="shared" si="0"/>
        <v>0.14783648560608897</v>
      </c>
      <c r="N11" s="48">
        <f>'[3]Regroupement par fonction'!$Z$7</f>
        <v>34572782.687999994</v>
      </c>
      <c r="O11" s="48">
        <f>'[3]Regroupement par fonction'!$AA$7</f>
        <v>17174711.634</v>
      </c>
      <c r="P11" s="48">
        <f>'[3]Regroupement par fonction'!$AB$7</f>
        <v>36090038.324000001</v>
      </c>
      <c r="Q11" s="48">
        <f>'[3]Regroupement par fonction'!$AC$7</f>
        <v>198802996.75000003</v>
      </c>
      <c r="R11" s="48">
        <f>'[3]Regroupement par fonction'!$AD$7</f>
        <v>229208360.15812159</v>
      </c>
      <c r="S11" s="34">
        <f>N11+O11+P11+Q11+R11+'Classif Prog-Admin-Eco'!T140</f>
        <v>706077199.55412161</v>
      </c>
      <c r="T11" s="49">
        <f t="shared" si="5"/>
        <v>0.2541199824640949</v>
      </c>
      <c r="U11" s="48">
        <v>35825986</v>
      </c>
      <c r="V11" s="48">
        <v>27483451</v>
      </c>
      <c r="W11" s="48">
        <v>51929218</v>
      </c>
      <c r="X11" s="48">
        <v>166705901</v>
      </c>
      <c r="Y11" s="48">
        <v>129848216</v>
      </c>
      <c r="Z11" s="34">
        <f>U11+V11+W11+X11+Y11+'Classif Prog-Admin-Eco'!X140</f>
        <v>621796193</v>
      </c>
      <c r="AA11" s="49">
        <f t="shared" si="6"/>
        <v>0.22378691418046459</v>
      </c>
      <c r="AB11" s="48">
        <f>'Classif Prog-Admin-Eco'!AD21+'Classif Prog-Admin-Eco'!AD22+'Classif Prog-Admin-Eco'!AD23+'Classif Prog-Admin-Eco'!AD24+'Classif Prog-Admin-Eco'!AD25+'Classif Prog-Admin-Eco'!AD35+'Classif Prog-Admin-Eco'!AD67+'Classif Prog-Admin-Eco'!AD80+'Classif Prog-Admin-Eco'!AD92+'Classif Prog-Admin-Eco'!AD107+'Classif Prog-Admin-Eco'!AD114</f>
        <v>36609711</v>
      </c>
      <c r="AC11" s="48">
        <f>'Classif Prog-Admin-Eco'!AE21+'Classif Prog-Admin-Eco'!AE22+'Classif Prog-Admin-Eco'!AE23+'Classif Prog-Admin-Eco'!AE24+'Classif Prog-Admin-Eco'!AE25+'Classif Prog-Admin-Eco'!AE35+'Classif Prog-Admin-Eco'!AE67+'Classif Prog-Admin-Eco'!AE80+'Classif Prog-Admin-Eco'!AE92+'Classif Prog-Admin-Eco'!AE107+'Classif Prog-Admin-Eco'!AE114</f>
        <v>28142920.991999999</v>
      </c>
      <c r="AD11" s="48">
        <f>'Classif Prog-Admin-Eco'!AF21+'Classif Prog-Admin-Eco'!AF22+'Classif Prog-Admin-Eco'!AF23+'Classif Prog-Admin-Eco'!AF24+'Classif Prog-Admin-Eco'!AF25+'Classif Prog-Admin-Eco'!AF35+'Classif Prog-Admin-Eco'!AF67+'Classif Prog-Admin-Eco'!AF80+'Classif Prog-Admin-Eco'!AF92+'Classif Prog-Admin-Eco'!AF107+'Classif Prog-Admin-Eco'!AF114+'Classif Prog-Admin-Eco'!AF28</f>
        <v>73944312</v>
      </c>
      <c r="AE11" s="48">
        <f>'Classif Prog-Admin-Eco'!AH20+'Classif Prog-Admin-Eco'!AH35+'Classif Prog-Admin-Eco'!AH67+'Classif Prog-Admin-Eco'!AH80+'Classif Prog-Admin-Eco'!AH92+'Classif Prog-Admin-Eco'!AH107+'Classif Prog-Admin-Eco'!AH114</f>
        <v>176470312</v>
      </c>
      <c r="AF11" s="48">
        <f>'Classif Prog-Admin-Eco'!AI20+'Classif Prog-Admin-Eco'!AJ20+'Classif Prog-Admin-Eco'!AI35+'Classif Prog-Admin-Eco'!AJ35+'Classif Prog-Admin-Eco'!AJ67+'Classif Prog-Admin-Eco'!AI92+'Classif Prog-Admin-Eco'!AJ92+'Classif Prog-Admin-Eco'!AI107+'Classif Prog-Admin-Eco'!AJ107+'Classif Prog-Admin-Eco'!AI114+'Classif Prog-Admin-Eco'!AJ114</f>
        <v>191600895.00099999</v>
      </c>
      <c r="AG11" s="34">
        <f>AB11+AC11+AD11+AE11+AF11+'Classif Prog-Admin-Eco'!AG140</f>
        <v>745122950.99300003</v>
      </c>
      <c r="AH11" s="49">
        <f t="shared" si="1"/>
        <v>0.24650906507195555</v>
      </c>
      <c r="AI11" s="48">
        <f>'Classif Prog-Admin-Eco'!AM21+'Classif Prog-Admin-Eco'!AM22+'Classif Prog-Admin-Eco'!AM23+'Classif Prog-Admin-Eco'!AM24+'Classif Prog-Admin-Eco'!AM25+'Classif Prog-Admin-Eco'!AM35+'Classif Prog-Admin-Eco'!AM67+'Classif Prog-Admin-Eco'!AM80+'Classif Prog-Admin-Eco'!AM92+'Classif Prog-Admin-Eco'!AM107+'Classif Prog-Admin-Eco'!AM114</f>
        <v>39044381</v>
      </c>
      <c r="AJ11" s="48">
        <f>'Classif Prog-Admin-Eco'!AN21+'Classif Prog-Admin-Eco'!AN22+'Classif Prog-Admin-Eco'!AN23+'Classif Prog-Admin-Eco'!AN24+'Classif Prog-Admin-Eco'!AN25+'Classif Prog-Admin-Eco'!AN35+'Classif Prog-Admin-Eco'!AN67+'Classif Prog-Admin-Eco'!AN80+'Classif Prog-Admin-Eco'!AN92+'Classif Prog-Admin-Eco'!AN107+'Classif Prog-Admin-Eco'!AN114</f>
        <v>28182299</v>
      </c>
      <c r="AK11" s="48">
        <f>'Classif Prog-Admin-Eco'!AO21+'Classif Prog-Admin-Eco'!AO22+'Classif Prog-Admin-Eco'!AO23+'Classif Prog-Admin-Eco'!AO25+'Classif Prog-Admin-Eco'!AO28+'Classif Prog-Admin-Eco'!AO35+'Classif Prog-Admin-Eco'!AO67+'Classif Prog-Admin-Eco'!AO80+'Classif Prog-Admin-Eco'!AO92+'Classif Prog-Admin-Eco'!AO107+'Classif Prog-Admin-Eco'!AO114</f>
        <v>73898035</v>
      </c>
      <c r="AL11" s="50">
        <f>'Classif Prog-Admin-Eco'!AQ20+'Classif Prog-Admin-Eco'!AQ35+'Classif Prog-Admin-Eco'!AQ67+'Classif Prog-Admin-Eco'!AQ80+'Classif Prog-Admin-Eco'!AQ92+'Classif Prog-Admin-Eco'!AQ114</f>
        <v>211405057</v>
      </c>
      <c r="AM11" s="48">
        <f>'Classif Prog-Admin-Eco'!AR20+'Classif Prog-Admin-Eco'!AS20+'Classif Prog-Admin-Eco'!AR35+'Classif Prog-Admin-Eco'!AS35+'Classif Prog-Admin-Eco'!AS67+'Classif Prog-Admin-Eco'!AR92+'Classif Prog-Admin-Eco'!AS92+'Classif Prog-Admin-Eco'!AR107+'Classif Prog-Admin-Eco'!AS107+'Classif Prog-Admin-Eco'!AR114+'Classif Prog-Admin-Eco'!AS114</f>
        <v>137424426</v>
      </c>
      <c r="AN11" s="34">
        <f>AI11+AJ11+AK11+AL11+AM11+'Classif Prog-Admin-Eco'!AU140</f>
        <v>751708998</v>
      </c>
      <c r="AO11" s="49">
        <f t="shared" si="2"/>
        <v>0.22642519292749783</v>
      </c>
      <c r="AP11" s="48">
        <f>'Classif Prog-Admin-Eco'!AV21+'Classif Prog-Admin-Eco'!AV22+'Classif Prog-Admin-Eco'!AV23+'Classif Prog-Admin-Eco'!AV24+'Classif Prog-Admin-Eco'!AV25+'Classif Prog-Admin-Eco'!AV35+'Classif Prog-Admin-Eco'!AV67+'Classif Prog-Admin-Eco'!AV80+'Classif Prog-Admin-Eco'!AV92+'Classif Prog-Admin-Eco'!AV107+'Classif Prog-Admin-Eco'!AV114</f>
        <v>41092695</v>
      </c>
      <c r="AQ11" s="48">
        <f>'Classif Prog-Admin-Eco'!AW21+'Classif Prog-Admin-Eco'!AW22+'Classif Prog-Admin-Eco'!AW23+'Classif Prog-Admin-Eco'!AW24+'Classif Prog-Admin-Eco'!AW25+'Classif Prog-Admin-Eco'!AW35+'Classif Prog-Admin-Eco'!AW67+'Classif Prog-Admin-Eco'!AW80+'Classif Prog-Admin-Eco'!AW92+'Classif Prog-Admin-Eco'!AW107+'Classif Prog-Admin-Eco'!AW114</f>
        <v>28221299</v>
      </c>
      <c r="AR11" s="48">
        <f>'Classif Prog-Admin-Eco'!AX22+'Classif Prog-Admin-Eco'!AX23+'Classif Prog-Admin-Eco'!AX25+'Classif Prog-Admin-Eco'!AX28+'Classif Prog-Admin-Eco'!AX35+'Classif Prog-Admin-Eco'!AX67+'Classif Prog-Admin-Eco'!AX80+'Classif Prog-Admin-Eco'!AX92+'Classif Prog-Admin-Eco'!AX107+'Classif Prog-Admin-Eco'!AX114</f>
        <v>73872505</v>
      </c>
      <c r="AS11" s="50">
        <f>'Classif Prog-Admin-Eco'!AZ20+'Classif Prog-Admin-Eco'!AZ35+'Classif Prog-Admin-Eco'!AZ67+'Classif Prog-Admin-Eco'!AZ80+'Classif Prog-Admin-Eco'!AZ92+'Classif Prog-Admin-Eco'!AZ114</f>
        <v>277513964</v>
      </c>
      <c r="AT11" s="48">
        <f>'Classif Prog-Admin-Eco'!BA20+'Classif Prog-Admin-Eco'!BB20+'Classif Prog-Admin-Eco'!BA35+'Classif Prog-Admin-Eco'!BB35+'Classif Prog-Admin-Eco'!BB67+'Classif Prog-Admin-Eco'!BA80+'Classif Prog-Admin-Eco'!BA92+'Classif Prog-Admin-Eco'!BB92+'Classif Prog-Admin-Eco'!BA107+'Classif Prog-Admin-Eco'!BB107+'Classif Prog-Admin-Eco'!BA114+'Classif Prog-Admin-Eco'!BB114</f>
        <v>70321237</v>
      </c>
      <c r="AU11" s="34">
        <f>AP11+AQ11+AR11+AS11+AT11+'Classif Prog-Admin-Eco'!BD140</f>
        <v>776476500</v>
      </c>
      <c r="AV11" s="49">
        <f t="shared" si="3"/>
        <v>0.23388550859965662</v>
      </c>
      <c r="AW11" s="52" t="s">
        <v>276</v>
      </c>
    </row>
    <row r="12" spans="1:49" ht="48" customHeight="1" x14ac:dyDescent="0.25">
      <c r="A12" s="46" t="s">
        <v>216</v>
      </c>
      <c r="B12" s="67" t="s">
        <v>217</v>
      </c>
      <c r="C12" s="6"/>
      <c r="D12" s="6"/>
      <c r="E12" s="6"/>
      <c r="F12" s="6"/>
      <c r="G12" s="48">
        <f>'[1]Classification fonct-économique'!$Z$7</f>
        <v>4367812.5609999998</v>
      </c>
      <c r="H12" s="48">
        <f>'[1]Classification fonct-économique'!$AA$7</f>
        <v>947318.88500000001</v>
      </c>
      <c r="I12" s="48">
        <f>'[1]Classification fonct-économique'!$AB$7</f>
        <v>175716.36040000001</v>
      </c>
      <c r="J12" s="48">
        <f>'[1]Classification fonct-économique'!$AC$7</f>
        <v>130691559.35699999</v>
      </c>
      <c r="K12" s="48">
        <f>'[1]Classification fonct-économique'!$AD$7</f>
        <v>100933555.07727101</v>
      </c>
      <c r="L12" s="34">
        <f t="shared" si="4"/>
        <v>237115962.24067101</v>
      </c>
      <c r="M12" s="47">
        <f t="shared" si="0"/>
        <v>9.2924702057714859E-2</v>
      </c>
      <c r="N12" s="48">
        <f>'[3]Regroupement par fonction'!$Z$8</f>
        <v>3894392.5890000002</v>
      </c>
      <c r="O12" s="48">
        <f>'[3]Regroupement par fonction'!$AA$8</f>
        <v>98200</v>
      </c>
      <c r="P12" s="48">
        <f>'[3]Regroupement par fonction'!$AB$8</f>
        <v>1965670.9999999998</v>
      </c>
      <c r="Q12" s="48">
        <f>'[3]Regroupement par fonction'!$AC$8</f>
        <v>27456545.223999999</v>
      </c>
      <c r="R12" s="48">
        <f>'[3]Regroupement par fonction'!$AD$8</f>
        <v>35320157.265000001</v>
      </c>
      <c r="S12" s="34">
        <f t="shared" ref="S12:S17" si="8">N12+O12+P12+Q12+R12</f>
        <v>68734966.078000009</v>
      </c>
      <c r="T12" s="49">
        <f t="shared" si="5"/>
        <v>2.4737986703779212E-2</v>
      </c>
      <c r="U12" s="48">
        <v>3601129</v>
      </c>
      <c r="V12" s="48">
        <v>143000</v>
      </c>
      <c r="W12" s="48">
        <v>2128156</v>
      </c>
      <c r="X12" s="48">
        <v>18219505</v>
      </c>
      <c r="Y12" s="48">
        <v>27393659</v>
      </c>
      <c r="Z12" s="34">
        <f>U12+V12+W12+X12+Y12</f>
        <v>51485449</v>
      </c>
      <c r="AA12" s="49">
        <f t="shared" si="6"/>
        <v>1.8529817143646755E-2</v>
      </c>
      <c r="AB12" s="48">
        <f>'Classif Prog-Admin-Eco'!AD89</f>
        <v>4412844</v>
      </c>
      <c r="AC12" s="48">
        <f>'Classif Prog-Admin-Eco'!AE89</f>
        <v>153000</v>
      </c>
      <c r="AD12" s="48">
        <f>'Classif Prog-Admin-Eco'!AF89</f>
        <v>2545656</v>
      </c>
      <c r="AE12" s="48">
        <f>'Classif Prog-Admin-Eco'!AH89</f>
        <v>29089814</v>
      </c>
      <c r="AF12" s="48">
        <f>'Classif Prog-Admin-Eco'!AI89+'Classif Prog-Admin-Eco'!AJ89</f>
        <v>14220169</v>
      </c>
      <c r="AG12" s="34">
        <f t="shared" ref="AG12:AG17" si="9">AB12+AC12+AD12+AE12+AF12</f>
        <v>50421483</v>
      </c>
      <c r="AH12" s="49">
        <f t="shared" si="1"/>
        <v>1.6680941873159758E-2</v>
      </c>
      <c r="AI12" s="48">
        <f>'Classif Prog-Admin-Eco'!AM89</f>
        <v>4714535</v>
      </c>
      <c r="AJ12" s="48">
        <f>'Classif Prog-Admin-Eco'!AN89</f>
        <v>153000</v>
      </c>
      <c r="AK12" s="48">
        <f>'Classif Prog-Admin-Eco'!AO89</f>
        <v>2545657</v>
      </c>
      <c r="AL12" s="48">
        <f>'Classif Prog-Admin-Eco'!AQ89</f>
        <v>15596663</v>
      </c>
      <c r="AM12" s="48">
        <f>'Classif Prog-Admin-Eco'!AR89+'Classif Prog-Admin-Eco'!AS89</f>
        <v>51739586</v>
      </c>
      <c r="AN12" s="34">
        <f t="shared" ref="AN12:AN17" si="10">AI12+AJ12+AK12+AL12+AM12</f>
        <v>74749441</v>
      </c>
      <c r="AO12" s="49">
        <f t="shared" si="2"/>
        <v>2.251557004729058E-2</v>
      </c>
      <c r="AP12" s="48">
        <f>'Classif Prog-Admin-Eco'!AV89</f>
        <v>4911164</v>
      </c>
      <c r="AQ12" s="48">
        <f>'Classif Prog-Admin-Eco'!AW89</f>
        <v>153000</v>
      </c>
      <c r="AR12" s="48">
        <f>'Classif Prog-Admin-Eco'!AX89</f>
        <v>2545656</v>
      </c>
      <c r="AS12" s="48">
        <f>'Classif Prog-Admin-Eco'!AZ89</f>
        <v>26539506</v>
      </c>
      <c r="AT12" s="48">
        <f>'Classif Prog-Admin-Eco'!BA89+'Classif Prog-Admin-Eco'!BB89</f>
        <v>42653895</v>
      </c>
      <c r="AU12" s="34">
        <f t="shared" si="7"/>
        <v>76803221</v>
      </c>
      <c r="AV12" s="49">
        <f t="shared" si="3"/>
        <v>2.3134197114370914E-2</v>
      </c>
      <c r="AW12" s="52" t="s">
        <v>275</v>
      </c>
    </row>
    <row r="13" spans="1:49" ht="35.25" customHeight="1" x14ac:dyDescent="0.25">
      <c r="A13" s="46" t="s">
        <v>218</v>
      </c>
      <c r="B13" s="67" t="s">
        <v>219</v>
      </c>
      <c r="C13" s="6"/>
      <c r="D13" s="6"/>
      <c r="E13" s="6"/>
      <c r="F13" s="6"/>
      <c r="G13" s="48">
        <f>'[1]Classification fonct-économique'!$Z$13</f>
        <v>64578.057999999997</v>
      </c>
      <c r="H13" s="48">
        <f>'[1]Classification fonct-économique'!$AA$13</f>
        <v>1406823.6189999999</v>
      </c>
      <c r="I13" s="48">
        <f>'[1]Classification fonct-économique'!$AB$13</f>
        <v>5356.7141999999994</v>
      </c>
      <c r="J13" s="48">
        <f>'[1]Classification fonct-économique'!$AC$13</f>
        <v>45246274.530000001</v>
      </c>
      <c r="K13" s="48">
        <v>74398883</v>
      </c>
      <c r="L13" s="34">
        <f t="shared" si="4"/>
        <v>121121915.92120001</v>
      </c>
      <c r="M13" s="47">
        <f t="shared" si="0"/>
        <v>4.746714579347102E-2</v>
      </c>
      <c r="N13" s="48">
        <f>'[3]Regroupement par fonction'!$Z$9</f>
        <v>2288789.5089999996</v>
      </c>
      <c r="O13" s="48">
        <f>'[3]Regroupement par fonction'!$AA$9</f>
        <v>2017193.247</v>
      </c>
      <c r="P13" s="48">
        <f>'[3]Regroupement par fonction'!$AB$9</f>
        <v>706079.75</v>
      </c>
      <c r="Q13" s="48">
        <f>'[3]Regroupement par fonction'!$AC$9</f>
        <v>200221557.15000001</v>
      </c>
      <c r="R13" s="48">
        <f>'[3]Regroupement par fonction'!$AD$9</f>
        <v>79912702.769909039</v>
      </c>
      <c r="S13" s="34">
        <f t="shared" si="8"/>
        <v>285146322.42590904</v>
      </c>
      <c r="T13" s="49">
        <f t="shared" si="5"/>
        <v>0.10262529154082806</v>
      </c>
      <c r="U13" s="48">
        <v>4660684</v>
      </c>
      <c r="V13" s="48">
        <v>4166981</v>
      </c>
      <c r="W13" s="48">
        <v>1095829</v>
      </c>
      <c r="X13" s="48">
        <v>188015458</v>
      </c>
      <c r="Y13" s="48">
        <v>128091846</v>
      </c>
      <c r="Z13" s="34">
        <f t="shared" ref="Z13:Z17" si="11">U13+V13+W13+X13+Y13</f>
        <v>326030798</v>
      </c>
      <c r="AA13" s="49">
        <f t="shared" si="6"/>
        <v>0.11733977633442086</v>
      </c>
      <c r="AB13" s="48">
        <f>'Classif Prog-Admin-Eco'!AD88+'Classif Prog-Admin-Eco'!AD91+'Classif Prog-Admin-Eco'!AD93+'Classif Prog-Admin-Eco'!AD113+'Classif Prog-Admin-Eco'!AD115+'Classif Prog-Admin-Eco'!AD116</f>
        <v>4005118</v>
      </c>
      <c r="AC13" s="48">
        <f>'Classif Prog-Admin-Eco'!AE113+'Classif Prog-Admin-Eco'!AE115+'Classif Prog-Admin-Eco'!AE116+'Classif Prog-Admin-Eco'!AE88+'Classif Prog-Admin-Eco'!AE91+'Classif Prog-Admin-Eco'!AE93</f>
        <v>4736406</v>
      </c>
      <c r="AD13" s="48">
        <f>'Classif Prog-Admin-Eco'!AF88+'Classif Prog-Admin-Eco'!AF91+'Classif Prog-Admin-Eco'!AF93+'Classif Prog-Admin-Eco'!AF116</f>
        <v>902504</v>
      </c>
      <c r="AE13" s="48">
        <f>'Classif Prog-Admin-Eco'!AH88+'Classif Prog-Admin-Eco'!AH91+'Classif Prog-Admin-Eco'!AH93+'Classif Prog-Admin-Eco'!AH113+'Classif Prog-Admin-Eco'!AH115+'Classif Prog-Admin-Eco'!AH116</f>
        <v>185795320</v>
      </c>
      <c r="AF13" s="48">
        <f>'Classif Prog-Admin-Eco'!AJ93+'Classif Prog-Admin-Eco'!AI115+'Classif Prog-Admin-Eco'!AJ115+'Classif Prog-Admin-Eco'!AJ91</f>
        <v>76207793.998999998</v>
      </c>
      <c r="AG13" s="34">
        <f t="shared" si="9"/>
        <v>271647141.99900001</v>
      </c>
      <c r="AH13" s="49">
        <f t="shared" si="1"/>
        <v>8.9869038276706253E-2</v>
      </c>
      <c r="AI13" s="48">
        <f>'Classif Prog-Admin-Eco'!AM88+'Classif Prog-Admin-Eco'!AM91+'Classif Prog-Admin-Eco'!AM93+'Classif Prog-Admin-Eco'!AM113+'Classif Prog-Admin-Eco'!AM115+'Classif Prog-Admin-Eco'!AM116</f>
        <v>4288160</v>
      </c>
      <c r="AJ13" s="48">
        <f>'Classif Prog-Admin-Eco'!AN113+'Classif Prog-Admin-Eco'!AN115+'Classif Prog-Admin-Eco'!AN116+'Classif Prog-Admin-Eco'!AN88+'Classif Prog-Admin-Eco'!AN91+'Classif Prog-Admin-Eco'!AN93</f>
        <v>4743305</v>
      </c>
      <c r="AK13" s="48">
        <f>'Classif Prog-Admin-Eco'!AO116+'Classif Prog-Admin-Eco'!AO88+'Classif Prog-Admin-Eco'!AO91+'Classif Prog-Admin-Eco'!AO93</f>
        <v>902504</v>
      </c>
      <c r="AL13" s="48">
        <f>'Classif Prog-Admin-Eco'!AQ88+'Classif Prog-Admin-Eco'!AQ91+'Classif Prog-Admin-Eco'!AQ93+'Classif Prog-Admin-Eco'!AQ113+'Classif Prog-Admin-Eco'!AQ115+'Classif Prog-Admin-Eco'!AQ116</f>
        <v>205705978</v>
      </c>
      <c r="AM13" s="48">
        <f>'Classif Prog-Admin-Eco'!AS91+'Classif Prog-Admin-Eco'!AS93+'Classif Prog-Admin-Eco'!AR115+'Classif Prog-Admin-Eco'!AS115</f>
        <v>178492500</v>
      </c>
      <c r="AN13" s="34">
        <f t="shared" si="10"/>
        <v>394132447</v>
      </c>
      <c r="AO13" s="49">
        <f t="shared" si="2"/>
        <v>0.11871816831832284</v>
      </c>
      <c r="AP13" s="48">
        <f>'Classif Prog-Admin-Eco'!AV88+'Classif Prog-Admin-Eco'!AV91+'Classif Prog-Admin-Eco'!AV93+'Classif Prog-Admin-Eco'!AV113+'Classif Prog-Admin-Eco'!AV115+'Classif Prog-Admin-Eco'!AV116</f>
        <v>4461956</v>
      </c>
      <c r="AQ13" s="48">
        <f>'Classif Prog-Admin-Eco'!AW88+'Classif Prog-Admin-Eco'!AW91+'Classif Prog-Admin-Eco'!AW93+'Classif Prog-Admin-Eco'!AW113+'Classif Prog-Admin-Eco'!AW115+'Classif Prog-Admin-Eco'!AW116</f>
        <v>4743305</v>
      </c>
      <c r="AR13" s="48">
        <f>'Classif Prog-Admin-Eco'!AX88+'Classif Prog-Admin-Eco'!AX91+'Classif Prog-Admin-Eco'!AX93+'Classif Prog-Admin-Eco'!AX116</f>
        <v>902504</v>
      </c>
      <c r="AS13" s="48">
        <f>'Classif Prog-Admin-Eco'!AZ88+'Classif Prog-Admin-Eco'!AZ91+'Classif Prog-Admin-Eco'!AZ93+'Classif Prog-Admin-Eco'!AZ113+'Classif Prog-Admin-Eco'!AZ115+'Classif Prog-Admin-Eco'!AZ116</f>
        <v>254448956</v>
      </c>
      <c r="AT13" s="48">
        <f>'Classif Prog-Admin-Eco'!BB91+'Classif Prog-Admin-Eco'!BB93+'Classif Prog-Admin-Eco'!BA115+'Classif Prog-Admin-Eco'!BB115</f>
        <v>139213571</v>
      </c>
      <c r="AU13" s="34">
        <f t="shared" si="7"/>
        <v>403770292</v>
      </c>
      <c r="AV13" s="49">
        <f t="shared" si="3"/>
        <v>0.1216212211211181</v>
      </c>
      <c r="AW13" s="52" t="s">
        <v>251</v>
      </c>
    </row>
    <row r="14" spans="1:49" ht="31.5" customHeight="1" x14ac:dyDescent="0.25">
      <c r="A14" s="46" t="s">
        <v>220</v>
      </c>
      <c r="B14" s="67" t="s">
        <v>221</v>
      </c>
      <c r="C14" s="6"/>
      <c r="D14" s="6"/>
      <c r="E14" s="6"/>
      <c r="F14" s="6"/>
      <c r="G14" s="39">
        <f>'[1]Classification fonct-économique'!$Z$8</f>
        <v>32255330.191</v>
      </c>
      <c r="H14" s="48">
        <f>'[1]Classification fonct-économique'!$AA$8</f>
        <v>8390781.1870000008</v>
      </c>
      <c r="I14" s="48">
        <f>'[1]Classification fonct-économique'!$AB$8</f>
        <v>2304662.5403999998</v>
      </c>
      <c r="J14" s="48">
        <f>'[1]Classification fonct-économique'!$AC$8</f>
        <v>9607510.9409999996</v>
      </c>
      <c r="K14" s="48">
        <f>'[1]Classification fonct-économique'!$AC$8</f>
        <v>9607510.9409999996</v>
      </c>
      <c r="L14" s="34">
        <f t="shared" si="4"/>
        <v>62165795.800399996</v>
      </c>
      <c r="M14" s="47">
        <f t="shared" si="0"/>
        <v>2.4362501783281733E-2</v>
      </c>
      <c r="N14" s="39">
        <f>'[3]Regroupement par fonction'!$Z$10</f>
        <v>43085256.388000004</v>
      </c>
      <c r="O14" s="48">
        <f>'[3]Regroupement par fonction'!$AA$10</f>
        <v>5736963.9720000001</v>
      </c>
      <c r="P14" s="48">
        <f>'[3]Regroupement par fonction'!$AB$10</f>
        <v>27125026.505000003</v>
      </c>
      <c r="Q14" s="48">
        <f>'[3]Regroupement par fonction'!$AC$10</f>
        <v>10325656.810000001</v>
      </c>
      <c r="R14" s="48">
        <f>'[3]Regroupement par fonction'!$AD$10</f>
        <v>29336267.721000001</v>
      </c>
      <c r="S14" s="34">
        <f t="shared" si="8"/>
        <v>115609171.39600001</v>
      </c>
      <c r="T14" s="49">
        <f t="shared" si="5"/>
        <v>4.1608198970866449E-2</v>
      </c>
      <c r="U14" s="39">
        <v>48359062</v>
      </c>
      <c r="V14" s="48">
        <v>10336301</v>
      </c>
      <c r="W14" s="48">
        <v>35232574</v>
      </c>
      <c r="X14" s="48">
        <v>18565339</v>
      </c>
      <c r="Y14" s="48">
        <v>23789967</v>
      </c>
      <c r="Z14" s="34">
        <f t="shared" si="11"/>
        <v>136283243</v>
      </c>
      <c r="AA14" s="49">
        <f t="shared" si="6"/>
        <v>4.904887927719493E-2</v>
      </c>
      <c r="AB14" s="39">
        <f>'Classif Prog-Admin-Eco'!AD48</f>
        <v>47069461</v>
      </c>
      <c r="AC14" s="48">
        <f>'Classif Prog-Admin-Eco'!AE48</f>
        <v>10686567</v>
      </c>
      <c r="AD14" s="48">
        <f>'Classif Prog-Admin-Eco'!AF48</f>
        <v>37730247</v>
      </c>
      <c r="AE14" s="48">
        <f>'Classif Prog-Admin-Eco'!AH48</f>
        <v>19000000</v>
      </c>
      <c r="AF14" s="48">
        <f>'Classif Prog-Admin-Eco'!AI48+'Classif Prog-Admin-Eco'!AJ48</f>
        <v>35625192</v>
      </c>
      <c r="AG14" s="34">
        <f t="shared" si="9"/>
        <v>150111467</v>
      </c>
      <c r="AH14" s="49">
        <f t="shared" si="1"/>
        <v>4.9661384523770141E-2</v>
      </c>
      <c r="AI14" s="48">
        <f>'Classif Prog-Admin-Eco'!AM48</f>
        <v>49519262</v>
      </c>
      <c r="AJ14" s="48">
        <f>'Classif Prog-Admin-Eco'!AN48</f>
        <v>10686567</v>
      </c>
      <c r="AK14" s="48">
        <f>'Classif Prog-Admin-Eco'!AO48</f>
        <v>37730248</v>
      </c>
      <c r="AL14" s="48">
        <f>'Classif Prog-Admin-Eco'!AQ48</f>
        <v>22200000</v>
      </c>
      <c r="AM14" s="48">
        <f>'Classif Prog-Admin-Eco'!AR48+'Classif Prog-Admin-Eco'!AS48</f>
        <v>28972192</v>
      </c>
      <c r="AN14" s="34">
        <f t="shared" si="10"/>
        <v>149108269</v>
      </c>
      <c r="AO14" s="49">
        <f t="shared" si="2"/>
        <v>4.4913482032591344E-2</v>
      </c>
      <c r="AP14" s="48">
        <f>'Classif Prog-Admin-Eco'!AV48</f>
        <v>51845695</v>
      </c>
      <c r="AQ14" s="48">
        <f>'Classif Prog-Admin-Eco'!AW48</f>
        <v>10686567</v>
      </c>
      <c r="AR14" s="48">
        <f>'Classif Prog-Admin-Eco'!AX48</f>
        <v>37730248</v>
      </c>
      <c r="AS14" s="48">
        <f>'Classif Prog-Admin-Eco'!AZ48</f>
        <v>25700000</v>
      </c>
      <c r="AT14" s="48">
        <f>'Classif Prog-Admin-Eco'!BB48</f>
        <v>25249000</v>
      </c>
      <c r="AU14" s="34">
        <f t="shared" si="7"/>
        <v>151211510</v>
      </c>
      <c r="AV14" s="49">
        <f t="shared" si="3"/>
        <v>4.5547007439983134E-2</v>
      </c>
      <c r="AW14" s="52" t="s">
        <v>222</v>
      </c>
    </row>
    <row r="15" spans="1:49" ht="31.5" customHeight="1" x14ac:dyDescent="0.25">
      <c r="A15" s="46" t="s">
        <v>223</v>
      </c>
      <c r="B15" s="67" t="s">
        <v>224</v>
      </c>
      <c r="C15" s="6"/>
      <c r="D15" s="6"/>
      <c r="E15" s="6"/>
      <c r="F15" s="6"/>
      <c r="G15" s="39">
        <f>'[1]Classification fonct-économique'!$Z$11</f>
        <v>1992711.8629999999</v>
      </c>
      <c r="H15" s="48">
        <f>'[1]Classification fonct-économique'!$AA$11</f>
        <v>2800247.1340000001</v>
      </c>
      <c r="I15" s="48">
        <f>'[1]Classification fonct-économique'!$AB$11</f>
        <v>937588.40529999998</v>
      </c>
      <c r="J15" s="48">
        <f>'[1]Classification fonct-économique'!$AC$11</f>
        <v>51169250.085000001</v>
      </c>
      <c r="K15" s="48">
        <f>'[1]Classification fonct-économique'!$AD$11</f>
        <v>16987964.495487101</v>
      </c>
      <c r="L15" s="34">
        <f t="shared" si="4"/>
        <v>73887761.982787102</v>
      </c>
      <c r="M15" s="47">
        <f t="shared" si="0"/>
        <v>2.8956288741931693E-2</v>
      </c>
      <c r="N15" s="39">
        <f>'[3]Regroupement par fonction'!$Z$11</f>
        <v>2378218.878</v>
      </c>
      <c r="O15" s="48">
        <f>'[3]Regroupement par fonction'!$AA$11</f>
        <v>4182587.5070000002</v>
      </c>
      <c r="P15" s="48">
        <f>'[3]Regroupement par fonction'!$AB$11</f>
        <v>6580197.7039999999</v>
      </c>
      <c r="Q15" s="48">
        <f>'[3]Regroupement par fonction'!$AC$11</f>
        <v>49803547.273000002</v>
      </c>
      <c r="R15" s="48">
        <f>'[3]Regroupement par fonction'!$AD$11</f>
        <v>15288895.339</v>
      </c>
      <c r="S15" s="34">
        <f t="shared" si="8"/>
        <v>78233446.701000005</v>
      </c>
      <c r="T15" s="49">
        <f t="shared" si="5"/>
        <v>2.8156527524636418E-2</v>
      </c>
      <c r="U15" s="39">
        <v>2617389</v>
      </c>
      <c r="V15" s="48">
        <v>5354761</v>
      </c>
      <c r="W15" s="48">
        <v>10527055</v>
      </c>
      <c r="X15" s="48">
        <v>60208620</v>
      </c>
      <c r="Y15" s="48">
        <v>13198590</v>
      </c>
      <c r="Z15" s="34">
        <f t="shared" si="11"/>
        <v>91906415</v>
      </c>
      <c r="AA15" s="49">
        <f t="shared" si="6"/>
        <v>3.3077483004530332E-2</v>
      </c>
      <c r="AB15" s="39">
        <f>'Classif Prog-Admin-Eco'!AD94+'Classif Prog-Admin-Eco'!AD117</f>
        <v>2542001</v>
      </c>
      <c r="AC15" s="48">
        <f>'Classif Prog-Admin-Eco'!AE117+'Classif Prog-Admin-Eco'!AE94</f>
        <v>5492960.9999999944</v>
      </c>
      <c r="AD15" s="48">
        <f>'Classif Prog-Admin-Eco'!AF94+'Classif Prog-Admin-Eco'!AF117</f>
        <v>10388855</v>
      </c>
      <c r="AE15" s="48">
        <f>'Classif Prog-Admin-Eco'!AH117+'Classif Prog-Admin-Eco'!AH94</f>
        <v>48296085</v>
      </c>
      <c r="AF15" s="48">
        <f>'Classif Prog-Admin-Eco'!AI117+'Classif Prog-Admin-Eco'!AJ117</f>
        <v>34427290</v>
      </c>
      <c r="AG15" s="34">
        <f t="shared" si="9"/>
        <v>101147192</v>
      </c>
      <c r="AH15" s="49">
        <f t="shared" si="1"/>
        <v>3.3462530849902403E-2</v>
      </c>
      <c r="AI15" s="48">
        <f>'Classif Prog-Admin-Eco'!AM117+'Classif Prog-Admin-Eco'!AM94</f>
        <v>2691376</v>
      </c>
      <c r="AJ15" s="48">
        <f>'Classif Prog-Admin-Eco'!AN94+'Classif Prog-Admin-Eco'!AN117</f>
        <v>5492961</v>
      </c>
      <c r="AK15" s="48">
        <f>'Classif Prog-Admin-Eco'!AO117+'Classif Prog-Admin-Eco'!AO94</f>
        <v>10388855</v>
      </c>
      <c r="AL15" s="48">
        <f>'Classif Prog-Admin-Eco'!AQ94+'Classif Prog-Admin-Eco'!AQ117</f>
        <v>58204313</v>
      </c>
      <c r="AM15" s="48">
        <f>'Classif Prog-Admin-Eco'!AR117+'Classif Prog-Admin-Eco'!AS117</f>
        <v>23401290</v>
      </c>
      <c r="AN15" s="34">
        <f t="shared" si="10"/>
        <v>100178795</v>
      </c>
      <c r="AO15" s="49">
        <f t="shared" si="2"/>
        <v>3.0175244736287236E-2</v>
      </c>
      <c r="AP15" s="48">
        <f>'Classif Prog-Admin-Eco'!AV117+'Classif Prog-Admin-Eco'!AV94</f>
        <v>2823655</v>
      </c>
      <c r="AQ15" s="48">
        <f>'Classif Prog-Admin-Eco'!AW94+'Classif Prog-Admin-Eco'!AW117</f>
        <v>5492961</v>
      </c>
      <c r="AR15" s="48">
        <f>'Classif Prog-Admin-Eco'!AX117+'Classif Prog-Admin-Eco'!AX94</f>
        <v>10388855</v>
      </c>
      <c r="AS15" s="48">
        <f>'Classif Prog-Admin-Eco'!AZ94+'Classif Prog-Admin-Eco'!AZ117</f>
        <v>62381400</v>
      </c>
      <c r="AT15" s="48">
        <f>'Classif Prog-Admin-Eco'!BA117+'Classif Prog-Admin-Eco'!BB117</f>
        <v>185557290</v>
      </c>
      <c r="AU15" s="34">
        <f t="shared" si="7"/>
        <v>266644161</v>
      </c>
      <c r="AV15" s="49">
        <f t="shared" si="3"/>
        <v>8.0316925509804515E-2</v>
      </c>
      <c r="AW15" s="52" t="s">
        <v>225</v>
      </c>
    </row>
    <row r="16" spans="1:49" ht="35.25" customHeight="1" x14ac:dyDescent="0.25">
      <c r="A16" s="46" t="s">
        <v>226</v>
      </c>
      <c r="B16" s="67" t="s">
        <v>227</v>
      </c>
      <c r="C16" s="6"/>
      <c r="D16" s="6"/>
      <c r="E16" s="6"/>
      <c r="F16" s="6"/>
      <c r="G16" s="39">
        <f>'[1]Classification fonct-économique'!$Z$6</f>
        <v>211609624.028</v>
      </c>
      <c r="H16" s="48">
        <f>'[1]Classification fonct-économique'!$AA$6</f>
        <v>29612076.316999998</v>
      </c>
      <c r="I16" s="48">
        <f>'[1]Classification fonct-économique'!$AB$6</f>
        <v>4546437.8715000004</v>
      </c>
      <c r="J16" s="48">
        <f>'[1]Classification fonct-économique'!$AC$6</f>
        <v>33355858.982000005</v>
      </c>
      <c r="K16" s="48">
        <f>'[1]Classification fonct-économique'!$AD$6</f>
        <v>14596587.14037003</v>
      </c>
      <c r="L16" s="34">
        <f t="shared" si="4"/>
        <v>293720584.33886999</v>
      </c>
      <c r="M16" s="47">
        <f t="shared" si="0"/>
        <v>0.11510780434176039</v>
      </c>
      <c r="N16" s="39">
        <f>'[3]Regroupement par fonction'!$Z$12</f>
        <v>241995632.05500001</v>
      </c>
      <c r="O16" s="48">
        <f>'[3]Regroupement par fonction'!$AA$12</f>
        <v>46564124.053000003</v>
      </c>
      <c r="P16" s="48">
        <f>'[3]Regroupement par fonction'!$AB$12</f>
        <v>47565925.398999996</v>
      </c>
      <c r="Q16" s="48">
        <f>'[3]Regroupement par fonction'!$AC$12</f>
        <v>37887077.774999999</v>
      </c>
      <c r="R16" s="48">
        <f>'[3]Regroupement par fonction'!$AD$12</f>
        <v>3134575.7670000005</v>
      </c>
      <c r="S16" s="34">
        <v>352213154</v>
      </c>
      <c r="T16" s="49">
        <f t="shared" si="5"/>
        <v>0.12676291002545387</v>
      </c>
      <c r="U16" s="39">
        <v>264706900</v>
      </c>
      <c r="V16" s="48">
        <v>49954605</v>
      </c>
      <c r="W16" s="48">
        <v>50609235</v>
      </c>
      <c r="X16" s="48">
        <v>47695217</v>
      </c>
      <c r="Y16" s="48">
        <v>45524311</v>
      </c>
      <c r="Z16" s="34">
        <f t="shared" si="11"/>
        <v>458490268</v>
      </c>
      <c r="AA16" s="49">
        <f>Z16/Z19</f>
        <v>0.17968031821922639</v>
      </c>
      <c r="AB16" s="39">
        <f>'Classif Prog-Admin-Eco'!AD52+'Classif Prog-Admin-Eco'!AD57+'Classif Prog-Admin-Eco'!AD62</f>
        <v>285380187</v>
      </c>
      <c r="AC16" s="48">
        <f>'Classif Prog-Admin-Eco'!AE62+'Classif Prog-Admin-Eco'!AE57+'Classif Prog-Admin-Eco'!AE52</f>
        <v>55882349</v>
      </c>
      <c r="AD16" s="48">
        <f>'Classif Prog-Admin-Eco'!AF62+'Classif Prog-Admin-Eco'!AF57+'Classif Prog-Admin-Eco'!AF52</f>
        <v>68936514</v>
      </c>
      <c r="AE16" s="48">
        <f>'Classif Prog-Admin-Eco'!AH62+'Classif Prog-Admin-Eco'!AH57+'Classif Prog-Admin-Eco'!AH52</f>
        <v>41714941</v>
      </c>
      <c r="AF16" s="48">
        <f>'Classif Prog-Admin-Eco'!AJ52+'Classif Prog-Admin-Eco'!AI57+'Classif Prog-Admin-Eco'!AJ57</f>
        <v>48822073</v>
      </c>
      <c r="AG16" s="34">
        <f t="shared" si="9"/>
        <v>500736064</v>
      </c>
      <c r="AH16" s="49">
        <f t="shared" si="1"/>
        <v>0.1656585383928276</v>
      </c>
      <c r="AI16" s="48">
        <f>'Classif Prog-Admin-Eco'!AM52+'Classif Prog-Admin-Eco'!AM57+'Classif Prog-Admin-Eco'!AM62</f>
        <v>313781553</v>
      </c>
      <c r="AJ16" s="48">
        <f>'Classif Prog-Admin-Eco'!AN52+'Classif Prog-Admin-Eco'!AN57+'Classif Prog-Admin-Eco'!AN62</f>
        <v>52853907</v>
      </c>
      <c r="AK16" s="48">
        <f>'Classif Prog-Admin-Eco'!AO52+'Classif Prog-Admin-Eco'!AO57+'Classif Prog-Admin-Eco'!AO62</f>
        <v>69159235</v>
      </c>
      <c r="AL16" s="48">
        <f>'Classif Prog-Admin-Eco'!AQ52+'Classif Prog-Admin-Eco'!AQ57+'Classif Prog-Admin-Eco'!AQ62</f>
        <v>53292614</v>
      </c>
      <c r="AM16" s="48">
        <f>'Classif Prog-Admin-Eco'!AS52+'Classif Prog-Admin-Eco'!AR57+'Classif Prog-Admin-Eco'!AS57</f>
        <v>33628974</v>
      </c>
      <c r="AN16" s="34">
        <f t="shared" si="10"/>
        <v>522716283</v>
      </c>
      <c r="AO16" s="49">
        <f t="shared" si="2"/>
        <v>0.15744940600620499</v>
      </c>
      <c r="AP16" s="48">
        <f>'Classif Prog-Admin-Eco'!AV52+'Classif Prog-Admin-Eco'!AV57+'Classif Prog-Admin-Eco'!AV62</f>
        <v>339794262</v>
      </c>
      <c r="AQ16" s="48">
        <f>'Classif Prog-Admin-Eco'!AW52+'Classif Prog-Admin-Eco'!AW57+'Classif Prog-Admin-Eco'!AW62</f>
        <v>52853906</v>
      </c>
      <c r="AR16" s="48">
        <f>'Classif Prog-Admin-Eco'!AX52+'Classif Prog-Admin-Eco'!AX57+'Classif Prog-Admin-Eco'!AX62</f>
        <v>69159235</v>
      </c>
      <c r="AS16" s="48">
        <f>'Classif Prog-Admin-Eco'!AZ52+'Classif Prog-Admin-Eco'!AZ57+'Classif Prog-Admin-Eco'!AZ62</f>
        <v>43442953</v>
      </c>
      <c r="AT16" s="48">
        <f>'Classif Prog-Admin-Eco'!BA57+'Classif Prog-Admin-Eco'!BB57</f>
        <v>23808975</v>
      </c>
      <c r="AU16" s="34">
        <f t="shared" si="7"/>
        <v>529059331</v>
      </c>
      <c r="AV16" s="49">
        <f t="shared" si="3"/>
        <v>0.15936002018133077</v>
      </c>
      <c r="AW16" s="52" t="s">
        <v>228</v>
      </c>
    </row>
    <row r="17" spans="1:49" ht="27" customHeight="1" x14ac:dyDescent="0.25">
      <c r="A17" s="46" t="s">
        <v>229</v>
      </c>
      <c r="B17" s="67" t="s">
        <v>230</v>
      </c>
      <c r="C17" s="6"/>
      <c r="D17" s="6"/>
      <c r="E17" s="6"/>
      <c r="F17" s="6"/>
      <c r="G17" s="48">
        <v>1721211</v>
      </c>
      <c r="H17" s="48">
        <v>2179324</v>
      </c>
      <c r="I17" s="48">
        <v>483773281</v>
      </c>
      <c r="J17" s="48">
        <f>'[1]Classification fonct-économique'!$AB$9</f>
        <v>10250950.101599999</v>
      </c>
      <c r="K17" s="48">
        <f>'[1]Classification fonct-économique'!$AD$9</f>
        <v>0</v>
      </c>
      <c r="L17" s="34">
        <f t="shared" si="4"/>
        <v>497924766.10159999</v>
      </c>
      <c r="M17" s="47">
        <f t="shared" si="0"/>
        <v>0.19513452447450719</v>
      </c>
      <c r="N17" s="48">
        <f>'[3]Regroupement par fonction'!$Z$13</f>
        <v>2729853.0300000003</v>
      </c>
      <c r="O17" s="48">
        <f>'[3]Regroupement par fonction'!$AA$13</f>
        <v>2284397.9930000002</v>
      </c>
      <c r="P17" s="48">
        <f>'[3]Regroupement par fonction'!$AB$13</f>
        <v>88353745.470000014</v>
      </c>
      <c r="Q17" s="48">
        <f>'[3]Regroupement par fonction'!$AC$13</f>
        <v>2034103.5730000001</v>
      </c>
      <c r="R17" s="48">
        <f>'[3]Regroupement par fonction'!$AD$13</f>
        <v>26651307.578000002</v>
      </c>
      <c r="S17" s="34">
        <f t="shared" si="8"/>
        <v>122053407.64400002</v>
      </c>
      <c r="T17" s="49">
        <f t="shared" si="5"/>
        <v>4.3927505136495897E-2</v>
      </c>
      <c r="U17" s="48">
        <v>2812248</v>
      </c>
      <c r="V17" s="48">
        <v>9255113</v>
      </c>
      <c r="W17" s="48">
        <v>101609608</v>
      </c>
      <c r="X17" s="48">
        <v>14703147</v>
      </c>
      <c r="Y17" s="48">
        <v>2376058</v>
      </c>
      <c r="Z17" s="34">
        <f t="shared" si="11"/>
        <v>130756174</v>
      </c>
      <c r="AA17" s="49">
        <f>Z17/$AG$19</f>
        <v>4.7059665239063138E-2</v>
      </c>
      <c r="AB17" s="48">
        <f>'Classif Prog-Admin-Eco'!AD103+'Classif Prog-Admin-Eco'!AD26</f>
        <v>3030065</v>
      </c>
      <c r="AC17" s="48">
        <f>'Classif Prog-Admin-Eco'!AE26+'Classif Prog-Admin-Eco'!AE27+'Classif Prog-Admin-Eco'!AE103</f>
        <v>9271705</v>
      </c>
      <c r="AD17" s="48">
        <f>'Classif Prog-Admin-Eco'!AF103+'Classif Prog-Admin-Eco'!AF26</f>
        <v>102085015</v>
      </c>
      <c r="AE17" s="48">
        <f>'Classif Prog-Admin-Eco'!AH103</f>
        <v>15511068</v>
      </c>
      <c r="AF17" s="48">
        <f>'Classif Prog-Admin-Eco'!AJ103</f>
        <v>2686000</v>
      </c>
      <c r="AG17" s="34">
        <f t="shared" si="9"/>
        <v>132583853</v>
      </c>
      <c r="AH17" s="49">
        <f t="shared" si="1"/>
        <v>4.3862723062162969E-2</v>
      </c>
      <c r="AI17" s="48">
        <f>'Classif Prog-Admin-Eco'!AM103+'Classif Prog-Admin-Eco'!AM26</f>
        <v>3207926</v>
      </c>
      <c r="AJ17" s="48">
        <f>'Classif Prog-Admin-Eco'!AN26+'Classif Prog-Admin-Eco'!AN27+'Classif Prog-Admin-Eco'!AN103</f>
        <v>9321112</v>
      </c>
      <c r="AK17" s="48">
        <f>'Classif Prog-Admin-Eco'!AO103+'Classif Prog-Admin-Eco'!AO26</f>
        <v>127243608</v>
      </c>
      <c r="AL17" s="48">
        <f>'Classif Prog-Admin-Eco'!AQ103</f>
        <v>16030173</v>
      </c>
      <c r="AM17" s="48">
        <f>'Classif Prog-Admin-Eco'!AS103</f>
        <v>3582000</v>
      </c>
      <c r="AN17" s="34">
        <f t="shared" si="10"/>
        <v>159384819</v>
      </c>
      <c r="AO17" s="49">
        <f t="shared" si="2"/>
        <v>4.8008921654266692E-2</v>
      </c>
      <c r="AP17" s="48">
        <f>'Classif Prog-Admin-Eco'!AV26+'Classif Prog-Admin-Eco'!AV103</f>
        <v>3378185</v>
      </c>
      <c r="AQ17" s="48">
        <f>'Classif Prog-Admin-Eco'!AW26+'Classif Prog-Admin-Eco'!AW27+'Classif Prog-Admin-Eco'!AW103</f>
        <v>9321112</v>
      </c>
      <c r="AR17" s="48">
        <f>'Classif Prog-Admin-Eco'!AX103+'Classif Prog-Admin-Eco'!AX26</f>
        <v>139443608</v>
      </c>
      <c r="AS17" s="48">
        <f>'Classif Prog-Admin-Eco'!AZ103</f>
        <v>16030173</v>
      </c>
      <c r="AT17" s="48">
        <f>'Classif Prog-Admin-Eco'!BB103</f>
        <v>3582000</v>
      </c>
      <c r="AU17" s="34">
        <f t="shared" si="7"/>
        <v>171755078</v>
      </c>
      <c r="AV17" s="49">
        <f t="shared" si="3"/>
        <v>5.1735015512515435E-2</v>
      </c>
      <c r="AW17" s="52" t="s">
        <v>239</v>
      </c>
    </row>
    <row r="18" spans="1:49" ht="10.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</row>
    <row r="19" spans="1:49" s="58" customFormat="1" ht="36.75" customHeight="1" x14ac:dyDescent="0.25">
      <c r="A19" s="197" t="s">
        <v>231</v>
      </c>
      <c r="B19" s="197"/>
      <c r="C19" s="54"/>
      <c r="D19" s="54"/>
      <c r="E19" s="54"/>
      <c r="F19" s="54"/>
      <c r="G19" s="55">
        <f t="shared" ref="G19:L19" si="12">SUM(G8:G17)</f>
        <v>444109662.56900001</v>
      </c>
      <c r="H19" s="55">
        <f t="shared" si="12"/>
        <v>153782982.93200001</v>
      </c>
      <c r="I19" s="55">
        <f t="shared" si="12"/>
        <v>526135906.12919998</v>
      </c>
      <c r="J19" s="55">
        <f t="shared" si="12"/>
        <v>572410032.41060007</v>
      </c>
      <c r="K19" s="55">
        <f t="shared" si="12"/>
        <v>361872712.45226443</v>
      </c>
      <c r="L19" s="55">
        <f t="shared" si="12"/>
        <v>2242560837.8433857</v>
      </c>
      <c r="M19" s="55"/>
      <c r="N19" s="55">
        <f t="shared" ref="N19:S19" si="13">SUM(N8:N17)</f>
        <v>509916718.148</v>
      </c>
      <c r="O19" s="55">
        <f t="shared" si="13"/>
        <v>149157882.54599997</v>
      </c>
      <c r="P19" s="55">
        <f t="shared" si="13"/>
        <v>570994410.84799993</v>
      </c>
      <c r="Q19" s="55">
        <f t="shared" si="13"/>
        <v>582850107.51800001</v>
      </c>
      <c r="R19" s="55">
        <f t="shared" si="13"/>
        <v>431536641.37103063</v>
      </c>
      <c r="S19" s="55">
        <f t="shared" si="13"/>
        <v>2447145439.1630306</v>
      </c>
      <c r="T19" s="55"/>
      <c r="U19" s="55">
        <f t="shared" ref="U19:Z19" si="14">SUM(U8:U17)</f>
        <v>596035000</v>
      </c>
      <c r="V19" s="55">
        <f t="shared" si="14"/>
        <v>190865000</v>
      </c>
      <c r="W19" s="55">
        <f t="shared" si="14"/>
        <v>582800000</v>
      </c>
      <c r="X19" s="55">
        <f t="shared" si="14"/>
        <v>581784000</v>
      </c>
      <c r="Y19" s="55">
        <f t="shared" si="14"/>
        <v>389616000</v>
      </c>
      <c r="Z19" s="55">
        <f t="shared" si="14"/>
        <v>2551700000</v>
      </c>
      <c r="AA19" s="55"/>
      <c r="AB19" s="56">
        <f t="shared" ref="AB19:AG19" si="15">SUM(AB8:AB17)</f>
        <v>633882000</v>
      </c>
      <c r="AC19" s="56">
        <f t="shared" si="15"/>
        <v>226017999.99199998</v>
      </c>
      <c r="AD19" s="56">
        <f t="shared" si="15"/>
        <v>669300000</v>
      </c>
      <c r="AE19" s="56">
        <f t="shared" si="15"/>
        <v>584062000</v>
      </c>
      <c r="AF19" s="56">
        <f t="shared" si="15"/>
        <v>426257000</v>
      </c>
      <c r="AG19" s="55">
        <f t="shared" si="15"/>
        <v>2778518999.9920001</v>
      </c>
      <c r="AH19" s="55"/>
      <c r="AI19" s="56">
        <f t="shared" ref="AI19:AN19" si="16">SUM(AI8:AI17)</f>
        <v>689147575</v>
      </c>
      <c r="AJ19" s="56">
        <f t="shared" si="16"/>
        <v>228502923</v>
      </c>
      <c r="AK19" s="56">
        <f t="shared" si="16"/>
        <v>707649502</v>
      </c>
      <c r="AL19" s="56">
        <f t="shared" si="16"/>
        <v>666897000</v>
      </c>
      <c r="AM19" s="56">
        <f t="shared" si="16"/>
        <v>468103000</v>
      </c>
      <c r="AN19" s="56">
        <f t="shared" si="16"/>
        <v>3022700000</v>
      </c>
      <c r="AO19" s="56"/>
      <c r="AP19" s="56">
        <f>SUM(AP8:AP17)</f>
        <v>740592108</v>
      </c>
      <c r="AQ19" s="56">
        <f>SUM(AQ8:AQ17)</f>
        <v>241071521</v>
      </c>
      <c r="AR19" s="56">
        <f>SUM(AR8:AR17)</f>
        <v>762436371</v>
      </c>
      <c r="AS19" s="56">
        <f>SUM(AS8:AS17)</f>
        <v>793780000</v>
      </c>
      <c r="AT19" s="56">
        <f>SUM(AT8:AT17)</f>
        <v>495920000</v>
      </c>
      <c r="AU19" s="56">
        <f>AU8+AU9+AU10+AU11+AU12+AU13+AU14+AU15+AU16+AU17</f>
        <v>3319900000</v>
      </c>
      <c r="AV19" s="56"/>
      <c r="AW19" s="57"/>
    </row>
    <row r="20" spans="1:49" ht="21" customHeight="1" x14ac:dyDescent="0.25">
      <c r="G20" s="38"/>
      <c r="H20" s="38"/>
      <c r="I20" s="38"/>
      <c r="J20" s="38"/>
      <c r="K20" s="38"/>
      <c r="L20" s="38"/>
      <c r="N20" s="38"/>
      <c r="P20" s="38"/>
      <c r="Q20" s="38"/>
      <c r="R20" s="38"/>
      <c r="S20" s="38"/>
      <c r="U20" s="38"/>
      <c r="V20" s="38"/>
      <c r="W20" s="38"/>
      <c r="X20" s="38"/>
      <c r="Y20" s="38"/>
      <c r="AB20" s="38"/>
      <c r="AC20" s="38"/>
      <c r="AD20" s="38"/>
      <c r="AF20" s="38"/>
      <c r="AG20" s="38"/>
      <c r="AI20" s="38"/>
      <c r="AJ20" s="38"/>
      <c r="AK20" s="38"/>
      <c r="AL20" s="38"/>
      <c r="AM20" s="38"/>
      <c r="AN20" s="38"/>
      <c r="AP20" s="38"/>
      <c r="AQ20" s="38"/>
      <c r="AR20" s="38"/>
      <c r="AS20" s="38"/>
      <c r="AT20" s="38"/>
      <c r="AU20" s="38"/>
    </row>
    <row r="21" spans="1:49" ht="21" customHeight="1" x14ac:dyDescent="0.25">
      <c r="H21" s="38"/>
      <c r="I21" s="38"/>
      <c r="J21" s="38"/>
      <c r="K21" s="38"/>
      <c r="L21" s="42"/>
      <c r="N21" s="38"/>
      <c r="Q21" s="38"/>
      <c r="R21" s="38"/>
      <c r="S21" s="38"/>
      <c r="U21" s="38"/>
      <c r="AB21" s="38"/>
      <c r="AD21" s="38"/>
      <c r="AF21" s="38"/>
      <c r="AG21" s="42"/>
      <c r="AI21" s="38"/>
      <c r="AK21" s="38"/>
      <c r="AL21" s="19"/>
      <c r="AN21" s="38"/>
      <c r="AP21" s="38"/>
      <c r="AQ21" s="38"/>
      <c r="AR21" s="38"/>
      <c r="AS21" s="38"/>
      <c r="AT21" s="38"/>
    </row>
    <row r="22" spans="1:49" ht="21" customHeight="1" x14ac:dyDescent="0.25">
      <c r="B22" s="19"/>
      <c r="G22" s="38"/>
      <c r="H22" s="38"/>
      <c r="I22" s="38"/>
      <c r="J22" s="38"/>
      <c r="K22" s="38"/>
      <c r="L22" s="38"/>
      <c r="P22" s="38"/>
      <c r="U22" s="38"/>
      <c r="Y22" s="38"/>
      <c r="AB22" s="38"/>
      <c r="AC22" s="38"/>
      <c r="AD22" s="38"/>
      <c r="AE22" s="38"/>
      <c r="AF22" s="38"/>
      <c r="AG22" s="42"/>
      <c r="AH22" s="42"/>
      <c r="AI22" s="38"/>
      <c r="AK22" s="38"/>
      <c r="AL22" s="38"/>
      <c r="AM22" s="38"/>
      <c r="AO22" s="42"/>
      <c r="AU22" s="38"/>
    </row>
    <row r="23" spans="1:49" ht="21" customHeight="1" x14ac:dyDescent="0.25">
      <c r="R23" s="42"/>
      <c r="V23" s="38"/>
      <c r="W23" s="38"/>
      <c r="X23" s="38"/>
      <c r="Y23" s="38"/>
      <c r="AA23" s="38"/>
      <c r="AB23" s="38"/>
      <c r="AD23" s="38"/>
      <c r="AG23" s="38"/>
      <c r="AI23" s="38"/>
      <c r="AK23" s="38"/>
      <c r="AM23" s="38"/>
      <c r="AO23" s="42"/>
      <c r="AP23" s="38"/>
      <c r="AQ23" s="38"/>
      <c r="AR23" s="38"/>
      <c r="AT23" s="38"/>
    </row>
    <row r="24" spans="1:49" ht="21" customHeight="1" x14ac:dyDescent="0.25">
      <c r="I24" s="38"/>
      <c r="U24" s="38"/>
      <c r="Y24" s="38"/>
      <c r="AB24" s="38"/>
      <c r="AD24" s="42"/>
      <c r="AG24" s="38"/>
      <c r="AI24" s="38"/>
      <c r="AJ24" s="38"/>
      <c r="AM24" s="66"/>
      <c r="AN24" s="38"/>
      <c r="AR24" s="38"/>
      <c r="AS24" s="38"/>
    </row>
    <row r="25" spans="1:49" ht="21" customHeight="1" x14ac:dyDescent="0.25">
      <c r="Z25" s="38"/>
      <c r="AC25" s="42"/>
      <c r="AE25" s="42"/>
      <c r="AF25" s="38"/>
      <c r="AG25" s="38"/>
      <c r="AI25" s="38"/>
      <c r="AJ25" s="38"/>
      <c r="AN25" s="38"/>
      <c r="AQ25" s="38"/>
    </row>
    <row r="26" spans="1:49" ht="21" customHeight="1" x14ac:dyDescent="0.25">
      <c r="I26" s="38"/>
      <c r="AB26" s="38"/>
      <c r="AF26" s="38"/>
      <c r="AL26" s="38"/>
      <c r="AM26" s="38"/>
    </row>
    <row r="27" spans="1:49" ht="21" customHeight="1" x14ac:dyDescent="0.25">
      <c r="L27" s="38"/>
      <c r="Q27" s="38"/>
      <c r="AB27" s="38"/>
      <c r="AF27" s="42"/>
      <c r="AJ27" s="38"/>
      <c r="AK27" s="38"/>
      <c r="AL27" s="38"/>
      <c r="AO27" s="38"/>
      <c r="AQ27" s="38"/>
      <c r="AR27" s="38"/>
    </row>
    <row r="28" spans="1:49" ht="21" customHeight="1" x14ac:dyDescent="0.25">
      <c r="AO28" s="38"/>
      <c r="AP28" s="38"/>
      <c r="AS28" s="38"/>
    </row>
    <row r="29" spans="1:49" ht="21" customHeight="1" x14ac:dyDescent="0.25">
      <c r="U29" s="38"/>
      <c r="V29" s="38"/>
      <c r="AD29" s="38"/>
      <c r="AF29" s="19"/>
      <c r="AI29" s="38"/>
      <c r="AJ29" s="38"/>
    </row>
    <row r="30" spans="1:49" ht="21" customHeight="1" x14ac:dyDescent="0.25">
      <c r="AC30" s="38"/>
      <c r="AD30" s="38"/>
      <c r="AE30" s="38"/>
      <c r="AF30" s="19"/>
    </row>
    <row r="31" spans="1:49" ht="21" customHeight="1" x14ac:dyDescent="0.25">
      <c r="AE31" s="38"/>
      <c r="AI31" s="38"/>
      <c r="AJ31" s="38"/>
      <c r="AK31" s="38"/>
      <c r="AL31" s="38"/>
      <c r="AM31" s="38"/>
      <c r="AN31" s="38"/>
    </row>
    <row r="32" spans="1:49" ht="21" customHeight="1" x14ac:dyDescent="0.25">
      <c r="AF32" s="38"/>
    </row>
    <row r="33" spans="21:44" ht="21" customHeight="1" x14ac:dyDescent="0.25">
      <c r="AF33" s="38"/>
      <c r="AJ33" s="38"/>
    </row>
    <row r="36" spans="21:44" ht="21" customHeight="1" x14ac:dyDescent="0.25">
      <c r="AR36" s="38"/>
    </row>
    <row r="37" spans="21:44" ht="21" customHeight="1" x14ac:dyDescent="0.25">
      <c r="AJ37" s="38"/>
    </row>
    <row r="39" spans="21:44" ht="21" customHeight="1" x14ac:dyDescent="0.25">
      <c r="AI39" s="38"/>
    </row>
    <row r="41" spans="21:44" ht="21" customHeight="1" x14ac:dyDescent="0.25">
      <c r="U41" s="14">
        <f>SUM(U22:U40)</f>
        <v>0</v>
      </c>
    </row>
  </sheetData>
  <mergeCells count="35">
    <mergeCell ref="AP6:AR6"/>
    <mergeCell ref="AS6:AT6"/>
    <mergeCell ref="AU6:AU7"/>
    <mergeCell ref="T6:T7"/>
    <mergeCell ref="U6:W6"/>
    <mergeCell ref="X6:Y6"/>
    <mergeCell ref="Z6:Z7"/>
    <mergeCell ref="AA6:AA7"/>
    <mergeCell ref="AB6:AD6"/>
    <mergeCell ref="AI6:AK6"/>
    <mergeCell ref="AL6:AM6"/>
    <mergeCell ref="AN6:AN7"/>
    <mergeCell ref="AG6:AG7"/>
    <mergeCell ref="AH6:AH7"/>
    <mergeCell ref="A19:B19"/>
    <mergeCell ref="AO6:AO7"/>
    <mergeCell ref="AP4:AW5"/>
    <mergeCell ref="A6:A7"/>
    <mergeCell ref="B6:B7"/>
    <mergeCell ref="G6:I6"/>
    <mergeCell ref="J6:K6"/>
    <mergeCell ref="L6:L7"/>
    <mergeCell ref="M6:M7"/>
    <mergeCell ref="N6:P6"/>
    <mergeCell ref="Q6:R6"/>
    <mergeCell ref="S6:S7"/>
    <mergeCell ref="AI4:AO5"/>
    <mergeCell ref="AV6:AV7"/>
    <mergeCell ref="AW6:AW7"/>
    <mergeCell ref="AE6:AF6"/>
    <mergeCell ref="A1:B1"/>
    <mergeCell ref="G4:M5"/>
    <mergeCell ref="N4:T5"/>
    <mergeCell ref="U4:AA5"/>
    <mergeCell ref="AB4:AH5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headerFooter>
    <oddHeader>&amp;C&amp;"Arial,Gras"&amp;14TABLEAU MATRICIEL CROISE DE CLASSIFICATION FONCTIONNELLE ET ECONOMIQUE 
DU PROJET DE LOI DE FINANCES 2019 &amp;"-,Normal"&amp;11
&amp;"Arial,Italique"&amp;12(en milliers de FCFA)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Classif Prog-Admin-Eco</vt:lpstr>
      <vt:lpstr>Classif Fonctionnelle</vt:lpstr>
      <vt:lpstr>'Classif Fonctionnelle'!Impression_des_titres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hp</cp:lastModifiedBy>
  <cp:lastPrinted>2024-10-24T15:51:13Z</cp:lastPrinted>
  <dcterms:created xsi:type="dcterms:W3CDTF">2018-12-01T18:50:14Z</dcterms:created>
  <dcterms:modified xsi:type="dcterms:W3CDTF">2025-01-03T20:06:15Z</dcterms:modified>
</cp:coreProperties>
</file>